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8355" firstSheet="4" activeTab="5"/>
  </bookViews>
  <sheets>
    <sheet name="Калькуляция" sheetId="8" r:id="rId1"/>
    <sheet name="расход.материал" sheetId="10" r:id="rId2"/>
    <sheet name="СМЕТА" sheetId="4" r:id="rId3"/>
    <sheet name="Штатное расписание" sheetId="5" r:id="rId4"/>
    <sheet name="площадь" sheetId="6" r:id="rId5"/>
    <sheet name="Информация о подписи" sheetId="11" r:id="rId6"/>
  </sheets>
  <definedNames>
    <definedName name="_xlnm.Print_Area" localSheetId="0">Калькуляция!$A$1:$E$83</definedName>
    <definedName name="_xlnm.Print_Area" localSheetId="2">СМЕТА!$A$1:$G$26</definedName>
    <definedName name="_xlnm.Print_Area" localSheetId="3">'Штатное расписание'!$A$1:$K$34</definedName>
  </definedNames>
  <calcPr calcId="162913"/>
</workbook>
</file>

<file path=xl/calcChain.xml><?xml version="1.0" encoding="utf-8"?>
<calcChain xmlns="http://schemas.openxmlformats.org/spreadsheetml/2006/main">
  <c r="D23" i="8" l="1"/>
  <c r="F14" i="10" l="1"/>
  <c r="D24" i="8" l="1"/>
  <c r="D22" i="8"/>
  <c r="D21" i="8" l="1"/>
  <c r="D75" i="8" l="1"/>
  <c r="D76" i="8"/>
  <c r="D25" i="8"/>
  <c r="D58" i="8" l="1"/>
  <c r="D31" i="8"/>
  <c r="D32" i="8" s="1"/>
  <c r="F6" i="10" l="1"/>
  <c r="F7" i="10"/>
  <c r="F8" i="10"/>
  <c r="F9" i="10"/>
  <c r="F10" i="10"/>
  <c r="F11" i="10"/>
  <c r="F12" i="10"/>
  <c r="F13" i="10"/>
  <c r="F15" i="10"/>
  <c r="F16" i="10"/>
  <c r="F17" i="10"/>
  <c r="F18" i="10"/>
  <c r="F19" i="10"/>
  <c r="F20" i="10"/>
  <c r="D33" i="8" l="1"/>
  <c r="D69" i="8" l="1"/>
  <c r="E69" i="8" s="1"/>
  <c r="D39" i="8" l="1"/>
  <c r="D40" i="8" s="1"/>
  <c r="C2" i="10"/>
  <c r="H26" i="5" l="1"/>
  <c r="F26" i="5" l="1"/>
  <c r="F23" i="5" l="1"/>
  <c r="F20" i="5"/>
  <c r="E4" i="5" l="1"/>
  <c r="F27" i="5"/>
  <c r="C21" i="5"/>
  <c r="C27" i="5"/>
  <c r="C23" i="5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5" i="10"/>
  <c r="F55" i="10" s="1"/>
  <c r="F56" i="10" l="1"/>
  <c r="C24" i="5"/>
  <c r="C28" i="5" s="1"/>
  <c r="J11" i="5" s="1"/>
  <c r="D61" i="8"/>
  <c r="D56" i="8"/>
  <c r="F21" i="5"/>
  <c r="D64" i="8" l="1"/>
  <c r="D65" i="8" s="1"/>
  <c r="E65" i="8" s="1"/>
  <c r="D63" i="8"/>
  <c r="E22" i="4" s="1"/>
  <c r="D26" i="8"/>
  <c r="D27" i="8" s="1"/>
  <c r="F24" i="5"/>
  <c r="F28" i="5" s="1"/>
  <c r="D29" i="8" l="1"/>
  <c r="D34" i="8" s="1"/>
  <c r="E63" i="8"/>
  <c r="B6" i="4"/>
  <c r="G27" i="5"/>
  <c r="G24" i="5"/>
  <c r="H24" i="5"/>
  <c r="G21" i="5"/>
  <c r="H21" i="5"/>
  <c r="C6" i="6"/>
  <c r="C13" i="6"/>
  <c r="E34" i="8" l="1"/>
  <c r="D36" i="8"/>
  <c r="E36" i="8" s="1"/>
  <c r="H28" i="5"/>
  <c r="C4" i="6"/>
  <c r="C7" i="6" s="1"/>
  <c r="D41" i="8" s="1"/>
  <c r="D44" i="8" s="1"/>
  <c r="G28" i="5"/>
  <c r="E44" i="8" l="1"/>
  <c r="D45" i="8"/>
  <c r="D42" i="8"/>
  <c r="D26" i="5" s="1"/>
  <c r="D30" i="8"/>
  <c r="D23" i="5" s="1"/>
  <c r="E23" i="5" s="1"/>
  <c r="J23" i="5" l="1"/>
  <c r="I23" i="5"/>
  <c r="E26" i="5"/>
  <c r="D27" i="5"/>
  <c r="D24" i="5"/>
  <c r="G22" i="4"/>
  <c r="K23" i="5" l="1"/>
  <c r="E27" i="5"/>
  <c r="I26" i="5"/>
  <c r="J26" i="5"/>
  <c r="J27" i="5" s="1"/>
  <c r="J24" i="5"/>
  <c r="E24" i="5"/>
  <c r="K26" i="5" l="1"/>
  <c r="K27" i="5" s="1"/>
  <c r="I27" i="5"/>
  <c r="K24" i="5"/>
  <c r="I24" i="5"/>
  <c r="D46" i="8"/>
  <c r="D47" i="8" l="1"/>
  <c r="D48" i="8" s="1"/>
  <c r="D49" i="8" s="1"/>
  <c r="D20" i="5" s="1"/>
  <c r="E20" i="5" s="1"/>
  <c r="D50" i="8" l="1"/>
  <c r="I20" i="5"/>
  <c r="J20" i="5"/>
  <c r="D21" i="5"/>
  <c r="D28" i="5" s="1"/>
  <c r="E50" i="8" l="1"/>
  <c r="K20" i="5"/>
  <c r="E21" i="5"/>
  <c r="E28" i="5" s="1"/>
  <c r="J21" i="5"/>
  <c r="J28" i="5" s="1"/>
  <c r="D57" i="8"/>
  <c r="D70" i="8" s="1"/>
  <c r="H54" i="8"/>
  <c r="H55" i="8" s="1"/>
  <c r="H56" i="8" s="1"/>
  <c r="M12" i="5" s="1"/>
  <c r="E24" i="4" l="1"/>
  <c r="E57" i="8"/>
  <c r="H46" i="8" s="1"/>
  <c r="I46" i="8" s="1"/>
  <c r="E70" i="8"/>
  <c r="E23" i="4"/>
  <c r="G23" i="4" s="1"/>
  <c r="K21" i="5"/>
  <c r="I21" i="5"/>
  <c r="I28" i="5" s="1"/>
  <c r="K29" i="5" l="1"/>
  <c r="K30" i="5" s="1"/>
  <c r="K31" i="5" s="1"/>
  <c r="J13" i="5" s="1"/>
  <c r="K28" i="5"/>
  <c r="D72" i="8" l="1"/>
  <c r="G24" i="4"/>
  <c r="E71" i="8"/>
  <c r="D77" i="8" l="1"/>
  <c r="D79" i="8" s="1"/>
  <c r="E72" i="8"/>
  <c r="I71" i="8" s="1"/>
  <c r="E19" i="4"/>
  <c r="G19" i="4" s="1"/>
  <c r="E21" i="4"/>
  <c r="G21" i="4" s="1"/>
  <c r="E18" i="4" l="1"/>
  <c r="E17" i="4" s="1"/>
  <c r="G17" i="4" s="1"/>
  <c r="G18" i="4" l="1"/>
</calcChain>
</file>

<file path=xl/sharedStrings.xml><?xml version="1.0" encoding="utf-8"?>
<sst xmlns="http://schemas.openxmlformats.org/spreadsheetml/2006/main" count="222" uniqueCount="203">
  <si>
    <t>Количество групп</t>
  </si>
  <si>
    <t>№ п/п</t>
  </si>
  <si>
    <t>Статья затрат</t>
  </si>
  <si>
    <t>Расходы на оплату труда педагогического персонала</t>
  </si>
  <si>
    <t xml:space="preserve">Итого должностной оклад: </t>
  </si>
  <si>
    <t>ЗП пед. 1 педагога = СТ час * К час (в месяц)</t>
  </si>
  <si>
    <t>Количество педагогов</t>
  </si>
  <si>
    <t>ЗП пед. = ЗП (мес.)*кол. пед. (в месяц)</t>
  </si>
  <si>
    <t>Расходы на оплату труда младшего обслуживающего персонала</t>
  </si>
  <si>
    <t>2.</t>
  </si>
  <si>
    <t>Должностной оклад (УСП)</t>
  </si>
  <si>
    <t>ЗП моп = СТ 1 кв.м * К дн * S общ.</t>
  </si>
  <si>
    <t>Расходы на оплату труда АУП</t>
  </si>
  <si>
    <t>3.</t>
  </si>
  <si>
    <t>ИТОГО:</t>
  </si>
  <si>
    <t>Начисления на заработную плату</t>
  </si>
  <si>
    <t>4.</t>
  </si>
  <si>
    <t xml:space="preserve">ПФ РФ </t>
  </si>
  <si>
    <t>ФФОМС</t>
  </si>
  <si>
    <t xml:space="preserve">ФСС РФ </t>
  </si>
  <si>
    <t xml:space="preserve">ФСС РФ (НС и ПЗ) </t>
  </si>
  <si>
    <t>ФСС</t>
  </si>
  <si>
    <t>Итого страховых взносов (%)</t>
  </si>
  <si>
    <t>НЗ = (ЗП пед + ЗП моп + ЗП ауп)  * Стр. взносы</t>
  </si>
  <si>
    <t>Расходы на оплату коммунальных платежей (электроэнергия)</t>
  </si>
  <si>
    <t>5.</t>
  </si>
  <si>
    <t>Количество ламп</t>
  </si>
  <si>
    <t>Потребления электроэнергии за месяц (кВт.ч)  (Потреб. эл. за 1 день *Среднее кол. дней работы)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</si>
  <si>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 xml:space="preserve"> (РЭ)</t>
    </r>
    <r>
      <rPr>
        <b/>
        <sz val="10"/>
        <color indexed="8"/>
        <rFont val="Times New Roman"/>
        <family val="1"/>
        <charset val="204"/>
      </rPr>
      <t>:</t>
    </r>
  </si>
  <si>
    <t>Расходы на приобритение учебно-наглядного пособия и расх. материал</t>
  </si>
  <si>
    <t>6.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</si>
  <si>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(МЗ):</t>
    </r>
  </si>
  <si>
    <t>Прочие хозяйственнын расходы</t>
  </si>
  <si>
    <t>7.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</si>
  <si>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</t>
    </r>
    <r>
      <rPr>
        <b/>
        <sz val="10"/>
        <color indexed="8"/>
        <rFont val="Times New Roman"/>
        <family val="1"/>
        <charset val="204"/>
      </rPr>
      <t>:</t>
    </r>
  </si>
  <si>
    <t>Себестоимость услуги (СБ)</t>
  </si>
  <si>
    <t>Справочная информация</t>
  </si>
  <si>
    <t>Количество кВт.ч (за 1 час) (Кол. Ламп * мощность лампы (0,41))</t>
  </si>
  <si>
    <t>Общая стоимость услуги за месяц (в руб. без учета НДС)</t>
  </si>
  <si>
    <t xml:space="preserve"> СМЕТА</t>
  </si>
  <si>
    <t xml:space="preserve"> N п/п </t>
  </si>
  <si>
    <t xml:space="preserve">Наименование показателя </t>
  </si>
  <si>
    <t>Дополнительная класификация</t>
  </si>
  <si>
    <t>изменения</t>
  </si>
  <si>
    <t xml:space="preserve">1.  </t>
  </si>
  <si>
    <t xml:space="preserve">Планируемый остаток средств на начало планируемого года      </t>
  </si>
  <si>
    <t xml:space="preserve">  x   </t>
  </si>
  <si>
    <t xml:space="preserve">2.  </t>
  </si>
  <si>
    <t xml:space="preserve">Доходы, всего     </t>
  </si>
  <si>
    <t>2.1.</t>
  </si>
  <si>
    <t xml:space="preserve">Поступления от иной приносящей доход деятельности, всего:      </t>
  </si>
  <si>
    <t xml:space="preserve">Расходы, всего:   </t>
  </si>
  <si>
    <t>х</t>
  </si>
  <si>
    <t>3.1.</t>
  </si>
  <si>
    <t>3.2.</t>
  </si>
  <si>
    <t>Прочие работы,услуги  (з/п пед. персоналу, адм. пер., моп. пер.)</t>
  </si>
  <si>
    <t>3.3.</t>
  </si>
  <si>
    <t xml:space="preserve">Увеличение стоимости материальных запасов        </t>
  </si>
  <si>
    <t>Унифицированная форма № Т-3
Утверждена Постановлением Госкомстата
России от 5 января 2004 г. № 1</t>
  </si>
  <si>
    <t>Код</t>
  </si>
  <si>
    <t>наименование организации</t>
  </si>
  <si>
    <t>Номер документа</t>
  </si>
  <si>
    <t xml:space="preserve">Дата составления </t>
  </si>
  <si>
    <t>УТВЕРЖДЕНО:</t>
  </si>
  <si>
    <t>ШТАТНОЕ РАСПИСАНИЕ</t>
  </si>
  <si>
    <t>Приказом учреждения</t>
  </si>
  <si>
    <t>штат в количестве</t>
  </si>
  <si>
    <t xml:space="preserve">на период </t>
  </si>
  <si>
    <t>Должность (специальность, профессия), разряд, класс (категория) квалификации</t>
  </si>
  <si>
    <t>Количество
штатных
единиц</t>
  </si>
  <si>
    <t>Итого тарифная ставка
(оклад)
руб.</t>
  </si>
  <si>
    <t>Показатели для расчета</t>
  </si>
  <si>
    <t>Надбавки</t>
  </si>
  <si>
    <t>S общ</t>
  </si>
  <si>
    <t>I. Административный персонал</t>
  </si>
  <si>
    <t>Итого:</t>
  </si>
  <si>
    <t>II. Педагогический персонал</t>
  </si>
  <si>
    <t>III. Младший обслуживающий персонал</t>
  </si>
  <si>
    <t>Уборщик служебных помещений (1 разряд)</t>
  </si>
  <si>
    <t>кол-во обучающихся</t>
  </si>
  <si>
    <t>Утверждаю:</t>
  </si>
  <si>
    <t>Калькуляция</t>
  </si>
  <si>
    <t>стоимости  дополнительных образовательных услуг</t>
  </si>
  <si>
    <t>Должностной оклад педагога дополнитетельного образования</t>
  </si>
  <si>
    <t xml:space="preserve">Сумма                           (за месяц) </t>
  </si>
  <si>
    <t>Северная надбавка 0,5 и районный коэффициент 0,6</t>
  </si>
  <si>
    <t>Расходный материал (см.Приложение)</t>
  </si>
  <si>
    <t>Норматив убираемой S за 1 час работы (кв. м)</t>
  </si>
  <si>
    <t>Норма часов в день</t>
  </si>
  <si>
    <t>Период обучения, мес.</t>
  </si>
  <si>
    <t>НДС (18 %)</t>
  </si>
  <si>
    <t>доходов и расходов по платным дополнительным образовательным услугам</t>
  </si>
  <si>
    <t xml:space="preserve">Код </t>
  </si>
  <si>
    <t>22300</t>
  </si>
  <si>
    <t>Коммунальные услуги</t>
  </si>
  <si>
    <t xml:space="preserve">Лицевой счет для приносящей доход деятельности        </t>
  </si>
  <si>
    <t>тыс.рублей</t>
  </si>
  <si>
    <t>Итого</t>
  </si>
  <si>
    <t>Заведующий образовательным учреждением</t>
  </si>
  <si>
    <t>Педагог дополнительного образования</t>
  </si>
  <si>
    <t>Районный коэффициент 0,60</t>
  </si>
  <si>
    <t>Северная надбавка 0,50</t>
  </si>
  <si>
    <t>Тарифная ставка
(оклад) за 1 час
руб.</t>
  </si>
  <si>
    <t>Приложение к калькуляции</t>
  </si>
  <si>
    <t>№ пп</t>
  </si>
  <si>
    <t>Наменование</t>
  </si>
  <si>
    <t>Количество</t>
  </si>
  <si>
    <t>Цена</t>
  </si>
  <si>
    <t>Всего</t>
  </si>
  <si>
    <t>Хозяйственные товары (тряпки, чистящие и моющие средства)</t>
  </si>
  <si>
    <t xml:space="preserve">Всего расходов на месяц обучения </t>
  </si>
  <si>
    <t>Норматив убираемой S в день на 1 ставку (21 раб.день)</t>
  </si>
  <si>
    <t>Начисление заработной платы при ежедневной уборке 250 кв.м. (норматив убираемой площади на ставку - 148 часов в месяц)</t>
  </si>
  <si>
    <t xml:space="preserve">Норматив убираемой S в день </t>
  </si>
  <si>
    <t>Среднемесячное количество рабочих дней на 2016 год</t>
  </si>
  <si>
    <t>Стоимость 1 кв.м.</t>
  </si>
  <si>
    <t xml:space="preserve">Стоимость 1 кв.м. без северной надбавки и районного коэффициента </t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</si>
  <si>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</t>
    </r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</si>
  <si>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без северной надбавки и районного коэффициента </t>
    </r>
  </si>
  <si>
    <t>Рентабельность</t>
  </si>
  <si>
    <t>Стимулирующие выплаты 20%</t>
  </si>
  <si>
    <t>1.</t>
  </si>
  <si>
    <t xml:space="preserve">Среднее количество недельных часов </t>
  </si>
  <si>
    <t>Норма недельных учебных часов на 1 ставку</t>
  </si>
  <si>
    <t>Стимулирующие выплаты 50%</t>
  </si>
  <si>
    <t>количество часов</t>
  </si>
  <si>
    <t>Начисление на заработную плату</t>
  </si>
  <si>
    <t>Фонд заработной платы</t>
  </si>
  <si>
    <t>Итого по штатному расписанию</t>
  </si>
  <si>
    <t>Всего в месяц, руб.</t>
  </si>
  <si>
    <t>Всего расходов</t>
  </si>
  <si>
    <t>Количество детей</t>
  </si>
  <si>
    <t xml:space="preserve">Структурное подразделение : Дополнительное образование </t>
  </si>
  <si>
    <t>расходные материалы на весь период работы</t>
  </si>
  <si>
    <t>Средняя стоимость услуги (в руб. без учета НДС)</t>
  </si>
  <si>
    <t>Среднее количество часов</t>
  </si>
  <si>
    <t>Средняя стоимость услуги, всего</t>
  </si>
  <si>
    <r>
      <t xml:space="preserve">Общая S помещения </t>
    </r>
    <r>
      <rPr>
        <b/>
        <i/>
        <sz val="10"/>
        <rFont val="Times New Roman"/>
        <family val="1"/>
        <charset val="204"/>
      </rPr>
      <t>(S общ. )</t>
    </r>
    <r>
      <rPr>
        <sz val="10"/>
        <rFont val="Times New Roman"/>
        <family val="1"/>
        <charset val="204"/>
      </rPr>
      <t>, кв.м</t>
    </r>
  </si>
  <si>
    <t>Количество часов по учебному плану (К час по УП за 12 мес)</t>
  </si>
  <si>
    <t>Среднее количество часов в месяц К час =К час по УП/ 12 мес</t>
  </si>
  <si>
    <t>Количество недельных учебных часов</t>
  </si>
  <si>
    <t>рублей в месяц</t>
  </si>
  <si>
    <t xml:space="preserve">Фонд заработной платы:                                                                                                                                                                </t>
  </si>
  <si>
    <t>ЗП ауп = (ЗП пед. + ЗП моп) * 15%</t>
  </si>
  <si>
    <t>Мощность лампы (кВт) (36 Вт/1000)</t>
  </si>
  <si>
    <t>Количество детей вcего</t>
  </si>
  <si>
    <t>Заведующий  МАДОУ № 24 "Солнышко"</t>
  </si>
  <si>
    <t>___________________Н.А.Котова</t>
  </si>
  <si>
    <t>Стимулирующие выплаты 15%</t>
  </si>
  <si>
    <t>лицевой счет 309076001240</t>
  </si>
  <si>
    <t xml:space="preserve">Заведующий МАДОУ № 24 "Солнышко"                                                                        ____________________Н.А.Котова                       </t>
  </si>
  <si>
    <t>единицы</t>
  </si>
  <si>
    <t>Коэффициент квалификации 0,30</t>
  </si>
  <si>
    <t>"От звука-к слову"</t>
  </si>
  <si>
    <t>Коэффициент образования 0,20</t>
  </si>
  <si>
    <t>Надбавка за выслугу лет 20%</t>
  </si>
  <si>
    <t>маленькое зеркало</t>
  </si>
  <si>
    <t>стул детский</t>
  </si>
  <si>
    <t>стол детский</t>
  </si>
  <si>
    <t>бумага офисная</t>
  </si>
  <si>
    <t>скоросшиватель</t>
  </si>
  <si>
    <t>катридж</t>
  </si>
  <si>
    <t>карандаш простой</t>
  </si>
  <si>
    <t>спиртовые салфетки</t>
  </si>
  <si>
    <t>зонт логопедический</t>
  </si>
  <si>
    <t>перчатки одноразовые</t>
  </si>
  <si>
    <t>тетрадь в клетку 48 листов</t>
  </si>
  <si>
    <t>блоки Денеша</t>
  </si>
  <si>
    <t>палочки Кьюзенери</t>
  </si>
  <si>
    <t xml:space="preserve">Установить оплату за услугу "От звука-к слову" в размере </t>
  </si>
  <si>
    <t xml:space="preserve">Платные образовательные услуги по курсу «От звука-к слову» </t>
  </si>
  <si>
    <t>Сумма на учебный год                            (9 мес.)</t>
  </si>
  <si>
    <t>до 20%</t>
  </si>
  <si>
    <t>Тариф кВт/час + НДС (20%)</t>
  </si>
  <si>
    <t>Муниципальное автономномное дошкольное образовательное учреждение  детский сад общеразвивающего вида                                                                                                             № 24 "Солнышко" г. Южно-Сахалинска</t>
  </si>
  <si>
    <t>по муниципальному автономному дошкольному образовательному учреждению детский сад обшеразвивающего вида  № 24 "Солнышкоа" г.Южно-Сахалинска</t>
  </si>
  <si>
    <t>Хан А.Б.</t>
  </si>
  <si>
    <t>Расчет на аптечки (1 аптечка* 500 руб.)</t>
  </si>
  <si>
    <t>приказ № 01-ДУ от 05.08.2025 г.</t>
  </si>
  <si>
    <t>на 2025-2026 учебный год</t>
  </si>
  <si>
    <t>приказ № 01-ДУ от  05.08.2025 г.</t>
  </si>
  <si>
    <t>утверждено на 05.08.2025</t>
  </si>
  <si>
    <t xml:space="preserve">с 01.09. 2025 по 31.05.2026 г. </t>
  </si>
  <si>
    <t>от 05 августа 2025 года № 01-ДУ</t>
  </si>
  <si>
    <t>Коэффициент пед.работы 0,50</t>
  </si>
  <si>
    <t xml:space="preserve">Салфетки влажные </t>
  </si>
  <si>
    <t>ДОКУМЕНТ ПОДПИСАН ЭЛЕКТРОННОЙ ПОДПИСЬЮ</t>
  </si>
  <si>
    <t>ПОДЛИННОСТЬ ДОКУМЕНТА ПОДТВЕРЖДЕНА.</t>
  </si>
  <si>
    <t>ПРОВЕРЕНО В ПРОГРАММЕ КРИПТОАРМ.</t>
  </si>
  <si>
    <t>Подпись</t>
  </si>
  <si>
    <t>Общий статус подписи</t>
  </si>
  <si>
    <t>Подпись верна</t>
  </si>
  <si>
    <t>Владелец</t>
  </si>
  <si>
    <t>МУНИЦИПАЛЬНОЕ АВТОНОМНОЕ ДОШКОЛЬНОЕ ОБРАЗОВАТЕЛЬНОЕ УЧРЕЖДЕНИЕ ДЕТСКИЙ САД ОБЩЕРАЗВИВАЮЩЕГО ВИДА № 24 "СОЛНЫШКО" Г.ЮЖНО-САХАЛИНСКА, КОТОВА, НАТАЛЬЯ АНАТОЛЬЕВНА, yusgo.madouds.24@sakhalin.gov.ru, 650103879409, 6501201911, 07743603780, 1086501010837, МУНИЦИПАЛЬНОЕ АВТОНОМНОЕ ДОШКОЛЬНОЕ ОБРАЗОВАТЕЛЬНОЕ УЧРЕЖДЕНИЕ ДЕТСКИЙ САД ОБЩЕРАЗВИВАЮЩЕГО ВИДА № 24 "СОЛНЫШКО" Г.ЮЖНО-САХАЛИНСКА, Заведующая, ЮЖНО-САХАЛИНСК Г., проспект Победы, 10А, Сахалинская область, RU</t>
  </si>
  <si>
    <t>Издатель</t>
  </si>
  <si>
    <t>Федеральное казначейство, Казначейство России, RU, г. Москва, Большой Златоустинский переулок, д. 6, строение 1, 1047797019830, 7710568760, 77 Москва, uc_fk@roskazna.ru</t>
  </si>
  <si>
    <t>Серийный номер</t>
  </si>
  <si>
    <t>5BAE487E68255A25CCA1249AAFB857D4</t>
  </si>
  <si>
    <t>Сертификат действителен с</t>
  </si>
  <si>
    <t>19.08.2024 14:02:48 UTC+11</t>
  </si>
  <si>
    <t>Сертификат действителен до</t>
  </si>
  <si>
    <t>12.11.2025 14:02:48 UTC+11</t>
  </si>
  <si>
    <t>Дата и время создания ЭП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</si>
</sst>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0_р_."/>
    <numFmt numFmtId="165" formatCode="#,##0.0_р_."/>
    <numFmt numFmtId="166" formatCode="0.0%"/>
    <numFmt numFmtId="167" formatCode="#,##0_р_."/>
    <numFmt numFmtId="168" formatCode="0000000"/>
    <numFmt numFmtId="169" formatCode="0.0"/>
    <numFmt numFmtId="170" formatCode="#,##0.0"/>
    <numFmt numFmtId="171" formatCode="0.00;[Red]0.00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Arial Cyr"/>
      <charset val="204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2"/>
      <name val="Arial"/>
      <family val="2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i/>
      <sz val="10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9" fillId="0" borderId="0"/>
  </cellStyleXfs>
  <cellXfs count="257">
    <xf numFmtId="0" fontId="0" fillId="0" borderId="0" xfId="0"/>
    <xf numFmtId="0" fontId="16" fillId="0" borderId="4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/>
    <xf numFmtId="0" fontId="15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4" xfId="0" applyFont="1" applyFill="1" applyBorder="1" applyAlignment="1">
      <alignment horizontal="left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165" fontId="18" fillId="2" borderId="4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/>
    <xf numFmtId="0" fontId="18" fillId="2" borderId="0" xfId="0" applyFont="1" applyFill="1"/>
    <xf numFmtId="165" fontId="15" fillId="0" borderId="4" xfId="0" applyNumberFormat="1" applyFont="1" applyFill="1" applyBorder="1" applyAlignment="1">
      <alignment horizontal="center" vertical="center" wrapText="1"/>
    </xf>
    <xf numFmtId="165" fontId="18" fillId="0" borderId="4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right" vertical="center"/>
    </xf>
    <xf numFmtId="0" fontId="20" fillId="0" borderId="4" xfId="0" applyNumberFormat="1" applyFont="1" applyFill="1" applyBorder="1" applyAlignment="1">
      <alignment horizontal="left" vertical="center" wrapText="1"/>
    </xf>
    <xf numFmtId="4" fontId="20" fillId="0" borderId="4" xfId="0" applyNumberFormat="1" applyFont="1" applyFill="1" applyBorder="1" applyAlignment="1">
      <alignment horizontal="right" vertical="center"/>
    </xf>
    <xf numFmtId="0" fontId="21" fillId="0" borderId="0" xfId="0" applyFont="1" applyFill="1" applyBorder="1"/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" fillId="0" borderId="4" xfId="0" applyFont="1" applyFill="1" applyBorder="1" applyAlignment="1">
      <alignment wrapText="1"/>
    </xf>
    <xf numFmtId="0" fontId="20" fillId="0" borderId="4" xfId="0" applyFont="1" applyFill="1" applyBorder="1" applyAlignment="1">
      <alignment wrapText="1"/>
    </xf>
    <xf numFmtId="0" fontId="17" fillId="0" borderId="0" xfId="0" applyFont="1"/>
    <xf numFmtId="0" fontId="17" fillId="0" borderId="4" xfId="0" applyFont="1" applyBorder="1"/>
    <xf numFmtId="170" fontId="17" fillId="0" borderId="4" xfId="0" applyNumberFormat="1" applyFont="1" applyBorder="1"/>
    <xf numFmtId="170" fontId="17" fillId="0" borderId="0" xfId="0" applyNumberFormat="1" applyFont="1"/>
    <xf numFmtId="0" fontId="15" fillId="2" borderId="0" xfId="0" applyFont="1" applyFill="1" applyAlignment="1">
      <alignment vertical="center" wrapText="1"/>
    </xf>
    <xf numFmtId="0" fontId="15" fillId="0" borderId="0" xfId="0" applyFont="1" applyFill="1"/>
    <xf numFmtId="0" fontId="14" fillId="0" borderId="0" xfId="0" applyFont="1" applyAlignment="1">
      <alignment horizontal="right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/>
    <xf numFmtId="0" fontId="15" fillId="2" borderId="0" xfId="0" applyFont="1" applyFill="1" applyAlignment="1">
      <alignment horizontal="right"/>
    </xf>
    <xf numFmtId="0" fontId="15" fillId="2" borderId="4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4" fontId="20" fillId="0" borderId="10" xfId="0" applyNumberFormat="1" applyFont="1" applyFill="1" applyBorder="1" applyAlignment="1">
      <alignment horizontal="center"/>
    </xf>
    <xf numFmtId="4" fontId="21" fillId="0" borderId="0" xfId="0" applyNumberFormat="1" applyFont="1" applyFill="1" applyBorder="1"/>
    <xf numFmtId="0" fontId="20" fillId="0" borderId="0" xfId="0" applyFont="1" applyFill="1" applyAlignment="1">
      <alignment horizontal="left"/>
    </xf>
    <xf numFmtId="0" fontId="21" fillId="0" borderId="0" xfId="0" applyFont="1" applyFill="1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6" xfId="0" applyNumberFormat="1" applyFont="1" applyFill="1" applyBorder="1" applyAlignment="1">
      <alignment horizontal="center"/>
    </xf>
    <xf numFmtId="168" fontId="20" fillId="0" borderId="11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1" fontId="20" fillId="0" borderId="12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center" vertical="top"/>
    </xf>
    <xf numFmtId="0" fontId="20" fillId="0" borderId="0" xfId="0" applyFont="1" applyFill="1" applyAlignment="1">
      <alignment horizontal="right" vertical="center"/>
    </xf>
    <xf numFmtId="0" fontId="22" fillId="0" borderId="0" xfId="0" applyNumberFormat="1" applyFont="1" applyFill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14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right"/>
    </xf>
    <xf numFmtId="0" fontId="20" fillId="0" borderId="0" xfId="0" applyNumberFormat="1" applyFont="1" applyFill="1" applyAlignment="1">
      <alignment horizontal="left"/>
    </xf>
    <xf numFmtId="1" fontId="20" fillId="0" borderId="4" xfId="0" applyNumberFormat="1" applyFont="1" applyFill="1" applyBorder="1" applyAlignment="1">
      <alignment horizontal="center"/>
    </xf>
    <xf numFmtId="0" fontId="22" fillId="0" borderId="4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>
      <alignment horizontal="right" vertical="center" wrapText="1"/>
    </xf>
    <xf numFmtId="4" fontId="16" fillId="0" borderId="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/>
    </xf>
    <xf numFmtId="167" fontId="22" fillId="0" borderId="4" xfId="0" applyNumberFormat="1" applyFont="1" applyFill="1" applyBorder="1" applyAlignment="1">
      <alignment horizontal="right" vertical="center"/>
    </xf>
    <xf numFmtId="0" fontId="22" fillId="0" borderId="4" xfId="0" applyNumberFormat="1" applyFont="1" applyFill="1" applyBorder="1" applyAlignment="1">
      <alignment horizontal="right" vertical="center" wrapText="1"/>
    </xf>
    <xf numFmtId="0" fontId="22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2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vertical="center"/>
    </xf>
    <xf numFmtId="4" fontId="6" fillId="0" borderId="4" xfId="1" applyNumberFormat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8" fillId="0" borderId="4" xfId="1" applyFont="1" applyBorder="1" applyAlignment="1">
      <alignment vertical="center" wrapText="1"/>
    </xf>
    <xf numFmtId="4" fontId="8" fillId="0" borderId="4" xfId="1" applyNumberFormat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170" fontId="20" fillId="3" borderId="4" xfId="0" applyNumberFormat="1" applyFont="1" applyFill="1" applyBorder="1" applyAlignment="1">
      <alignment horizontal="right" wrapText="1"/>
    </xf>
    <xf numFmtId="170" fontId="17" fillId="3" borderId="4" xfId="0" applyNumberFormat="1" applyFont="1" applyFill="1" applyBorder="1" applyAlignment="1">
      <alignment horizontal="right"/>
    </xf>
    <xf numFmtId="170" fontId="17" fillId="3" borderId="4" xfId="0" applyNumberFormat="1" applyFont="1" applyFill="1" applyBorder="1"/>
    <xf numFmtId="169" fontId="17" fillId="0" borderId="0" xfId="0" applyNumberFormat="1" applyFont="1"/>
    <xf numFmtId="4" fontId="16" fillId="0" borderId="4" xfId="0" applyNumberFormat="1" applyFont="1" applyBorder="1"/>
    <xf numFmtId="4" fontId="12" fillId="0" borderId="5" xfId="0" applyNumberFormat="1" applyFont="1" applyFill="1" applyBorder="1"/>
    <xf numFmtId="0" fontId="20" fillId="0" borderId="0" xfId="0" applyFont="1" applyFill="1" applyAlignment="1">
      <alignment horizontal="right"/>
    </xf>
    <xf numFmtId="0" fontId="20" fillId="0" borderId="19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left" vertical="center" wrapText="1"/>
    </xf>
    <xf numFmtId="167" fontId="20" fillId="0" borderId="4" xfId="0" applyNumberFormat="1" applyFont="1" applyFill="1" applyBorder="1" applyAlignment="1">
      <alignment horizontal="right" vertical="center"/>
    </xf>
    <xf numFmtId="0" fontId="22" fillId="0" borderId="0" xfId="0" applyNumberFormat="1" applyFont="1" applyFill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right"/>
    </xf>
    <xf numFmtId="4" fontId="22" fillId="0" borderId="4" xfId="0" applyNumberFormat="1" applyFont="1" applyFill="1" applyBorder="1" applyAlignment="1">
      <alignment horizontal="right"/>
    </xf>
    <xf numFmtId="4" fontId="22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vertical="top"/>
    </xf>
    <xf numFmtId="4" fontId="27" fillId="0" borderId="0" xfId="0" applyNumberFormat="1" applyFont="1" applyFill="1" applyBorder="1" applyAlignment="1">
      <alignment horizontal="center" vertical="top"/>
    </xf>
    <xf numFmtId="4" fontId="20" fillId="0" borderId="4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/>
    <xf numFmtId="0" fontId="20" fillId="0" borderId="0" xfId="0" applyFont="1" applyFill="1" applyAlignment="1"/>
    <xf numFmtId="0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6" fillId="0" borderId="4" xfId="1" applyFont="1" applyBorder="1" applyAlignment="1">
      <alignment vertical="center" wrapText="1"/>
    </xf>
    <xf numFmtId="0" fontId="28" fillId="0" borderId="0" xfId="0" applyNumberFormat="1" applyFont="1" applyFill="1" applyBorder="1" applyAlignment="1">
      <alignment wrapText="1"/>
    </xf>
    <xf numFmtId="0" fontId="6" fillId="0" borderId="0" xfId="1" applyFont="1" applyFill="1" applyBorder="1" applyAlignment="1">
      <alignment vertical="center"/>
    </xf>
    <xf numFmtId="4" fontId="21" fillId="0" borderId="0" xfId="0" applyNumberFormat="1" applyFont="1" applyFill="1"/>
    <xf numFmtId="0" fontId="23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164" fontId="7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wrapText="1"/>
    </xf>
    <xf numFmtId="164" fontId="6" fillId="0" borderId="4" xfId="0" applyNumberFormat="1" applyFont="1" applyFill="1" applyBorder="1" applyAlignment="1">
      <alignment wrapText="1"/>
    </xf>
    <xf numFmtId="164" fontId="8" fillId="0" borderId="4" xfId="0" applyNumberFormat="1" applyFont="1" applyFill="1" applyBorder="1" applyAlignment="1">
      <alignment wrapText="1"/>
    </xf>
    <xf numFmtId="0" fontId="20" fillId="0" borderId="0" xfId="0" applyNumberFormat="1" applyFont="1" applyFill="1" applyBorder="1" applyAlignment="1">
      <alignment horizontal="center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0" fillId="0" borderId="0" xfId="0" applyFill="1"/>
    <xf numFmtId="0" fontId="22" fillId="0" borderId="0" xfId="0" applyFont="1" applyFill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4" fontId="5" fillId="0" borderId="4" xfId="0" applyNumberFormat="1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164" fontId="7" fillId="0" borderId="4" xfId="0" applyNumberFormat="1" applyFont="1" applyFill="1" applyBorder="1" applyAlignment="1">
      <alignment wrapText="1"/>
    </xf>
    <xf numFmtId="0" fontId="4" fillId="0" borderId="4" xfId="0" applyFont="1" applyFill="1" applyBorder="1" applyAlignment="1">
      <alignment horizontal="right" wrapText="1"/>
    </xf>
    <xf numFmtId="4" fontId="4" fillId="0" borderId="4" xfId="0" applyNumberFormat="1" applyFont="1" applyFill="1" applyBorder="1" applyAlignment="1">
      <alignment wrapText="1"/>
    </xf>
    <xf numFmtId="0" fontId="6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2" fontId="0" fillId="0" borderId="0" xfId="0" applyNumberFormat="1" applyFill="1"/>
    <xf numFmtId="0" fontId="5" fillId="0" borderId="4" xfId="0" applyFont="1" applyFill="1" applyBorder="1"/>
    <xf numFmtId="9" fontId="6" fillId="0" borderId="4" xfId="0" applyNumberFormat="1" applyFont="1" applyFill="1" applyBorder="1" applyAlignment="1">
      <alignment wrapText="1"/>
    </xf>
    <xf numFmtId="166" fontId="6" fillId="0" borderId="4" xfId="0" applyNumberFormat="1" applyFont="1" applyFill="1" applyBorder="1" applyAlignment="1">
      <alignment wrapText="1"/>
    </xf>
    <xf numFmtId="4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6" fillId="0" borderId="4" xfId="0" applyFont="1" applyFill="1" applyBorder="1" applyAlignment="1">
      <alignment wrapText="1"/>
    </xf>
    <xf numFmtId="164" fontId="6" fillId="0" borderId="4" xfId="0" applyNumberFormat="1" applyFont="1" applyFill="1" applyBorder="1" applyAlignment="1">
      <alignment vertical="center" wrapText="1"/>
    </xf>
    <xf numFmtId="164" fontId="4" fillId="0" borderId="4" xfId="0" applyNumberFormat="1" applyFont="1" applyFill="1" applyBorder="1" applyAlignment="1">
      <alignment vertical="center" wrapText="1"/>
    </xf>
    <xf numFmtId="164" fontId="9" fillId="0" borderId="4" xfId="0" applyNumberFormat="1" applyFont="1" applyFill="1" applyBorder="1" applyAlignment="1">
      <alignment wrapText="1"/>
    </xf>
    <xf numFmtId="164" fontId="12" fillId="0" borderId="4" xfId="0" applyNumberFormat="1" applyFont="1" applyFill="1" applyBorder="1" applyAlignment="1">
      <alignment wrapText="1"/>
    </xf>
    <xf numFmtId="164" fontId="11" fillId="0" borderId="4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164" fontId="13" fillId="0" borderId="4" xfId="0" applyNumberFormat="1" applyFont="1" applyFill="1" applyBorder="1" applyAlignment="1">
      <alignment wrapText="1"/>
    </xf>
    <xf numFmtId="164" fontId="1" fillId="0" borderId="4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164" fontId="12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wrapText="1"/>
    </xf>
    <xf numFmtId="0" fontId="1" fillId="0" borderId="9" xfId="0" applyFont="1" applyFill="1" applyBorder="1" applyAlignment="1">
      <alignment horizontal="right" wrapText="1"/>
    </xf>
    <xf numFmtId="0" fontId="1" fillId="0" borderId="18" xfId="0" applyFont="1" applyFill="1" applyBorder="1" applyAlignment="1">
      <alignment wrapText="1"/>
    </xf>
    <xf numFmtId="1" fontId="1" fillId="0" borderId="5" xfId="0" applyNumberFormat="1" applyFont="1" applyFill="1" applyBorder="1" applyAlignment="1">
      <alignment horizontal="right" wrapText="1"/>
    </xf>
    <xf numFmtId="4" fontId="1" fillId="0" borderId="5" xfId="0" applyNumberFormat="1" applyFont="1" applyFill="1" applyBorder="1" applyAlignment="1">
      <alignment horizontal="right" wrapText="1"/>
    </xf>
    <xf numFmtId="4" fontId="1" fillId="0" borderId="18" xfId="0" applyNumberFormat="1" applyFont="1" applyFill="1" applyBorder="1" applyAlignment="1">
      <alignment wrapText="1"/>
    </xf>
    <xf numFmtId="4" fontId="24" fillId="0" borderId="18" xfId="0" applyNumberFormat="1" applyFont="1" applyFill="1" applyBorder="1"/>
    <xf numFmtId="0" fontId="25" fillId="0" borderId="0" xfId="0" applyFont="1" applyFill="1"/>
    <xf numFmtId="0" fontId="6" fillId="0" borderId="4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vertical="center" wrapText="1"/>
    </xf>
    <xf numFmtId="0" fontId="1" fillId="0" borderId="3" xfId="0" applyFont="1" applyFill="1" applyBorder="1" applyAlignment="1">
      <alignment wrapText="1"/>
    </xf>
    <xf numFmtId="164" fontId="7" fillId="4" borderId="4" xfId="0" applyNumberFormat="1" applyFont="1" applyFill="1" applyBorder="1" applyAlignment="1">
      <alignment wrapText="1"/>
    </xf>
    <xf numFmtId="170" fontId="0" fillId="0" borderId="0" xfId="0" applyNumberFormat="1" applyFill="1"/>
    <xf numFmtId="0" fontId="25" fillId="0" borderId="0" xfId="0" applyFont="1" applyFill="1" applyAlignment="1"/>
    <xf numFmtId="0" fontId="6" fillId="0" borderId="4" xfId="1" applyFont="1" applyFill="1" applyBorder="1" applyAlignment="1">
      <alignment wrapText="1"/>
    </xf>
    <xf numFmtId="0" fontId="6" fillId="0" borderId="4" xfId="1" applyFont="1" applyFill="1" applyBorder="1"/>
    <xf numFmtId="171" fontId="6" fillId="0" borderId="4" xfId="1" applyNumberFormat="1" applyFont="1" applyFill="1" applyBorder="1"/>
    <xf numFmtId="171" fontId="6" fillId="0" borderId="4" xfId="1" applyNumberFormat="1" applyFont="1" applyFill="1" applyBorder="1" applyAlignment="1">
      <alignment vertical="center"/>
    </xf>
    <xf numFmtId="3" fontId="6" fillId="0" borderId="4" xfId="1" applyNumberFormat="1" applyFont="1" applyFill="1" applyBorder="1" applyAlignment="1">
      <alignment vertical="center"/>
    </xf>
    <xf numFmtId="4" fontId="25" fillId="5" borderId="0" xfId="0" applyNumberFormat="1" applyFont="1" applyFill="1" applyAlignment="1">
      <alignment horizontal="center"/>
    </xf>
    <xf numFmtId="4" fontId="8" fillId="5" borderId="4" xfId="1" applyNumberFormat="1" applyFont="1" applyFill="1" applyBorder="1" applyAlignment="1">
      <alignment vertical="center"/>
    </xf>
    <xf numFmtId="0" fontId="15" fillId="2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31" fillId="0" borderId="0" xfId="0" applyFont="1" applyFill="1" applyAlignment="1">
      <alignment horizontal="right"/>
    </xf>
    <xf numFmtId="0" fontId="1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22" fillId="0" borderId="0" xfId="1" applyFont="1" applyFill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18" fillId="2" borderId="0" xfId="0" applyFont="1" applyFill="1" applyAlignment="1">
      <alignment horizontal="center"/>
    </xf>
    <xf numFmtId="0" fontId="26" fillId="0" borderId="0" xfId="0" applyFont="1"/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0" fontId="20" fillId="0" borderId="4" xfId="0" applyNumberFormat="1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wrapText="1"/>
    </xf>
    <xf numFmtId="0" fontId="28" fillId="0" borderId="10" xfId="0" applyNumberFormat="1" applyFont="1" applyFill="1" applyBorder="1" applyAlignment="1">
      <alignment horizontal="left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right" wrapText="1"/>
    </xf>
    <xf numFmtId="0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vertical="center" wrapText="1"/>
    </xf>
    <xf numFmtId="0" fontId="19" fillId="0" borderId="10" xfId="0" applyNumberFormat="1" applyFont="1" applyFill="1" applyBorder="1" applyAlignment="1">
      <alignment horizontal="center" wrapText="1"/>
    </xf>
    <xf numFmtId="0" fontId="20" fillId="0" borderId="20" xfId="0" applyNumberFormat="1" applyFont="1" applyFill="1" applyBorder="1" applyAlignment="1">
      <alignment horizontal="center" vertical="top"/>
    </xf>
    <xf numFmtId="0" fontId="20" fillId="0" borderId="7" xfId="0" applyNumberFormat="1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center"/>
    </xf>
    <xf numFmtId="0" fontId="20" fillId="0" borderId="2" xfId="0" applyNumberFormat="1" applyFont="1" applyFill="1" applyBorder="1" applyAlignment="1">
      <alignment horizontal="center"/>
    </xf>
    <xf numFmtId="0" fontId="20" fillId="0" borderId="15" xfId="0" applyNumberFormat="1" applyFont="1" applyFill="1" applyBorder="1" applyAlignment="1">
      <alignment horizontal="center"/>
    </xf>
    <xf numFmtId="0" fontId="20" fillId="0" borderId="13" xfId="0" applyNumberFormat="1" applyFont="1" applyFill="1" applyBorder="1" applyAlignment="1">
      <alignment horizontal="center"/>
    </xf>
    <xf numFmtId="0" fontId="20" fillId="0" borderId="21" xfId="0" applyNumberFormat="1" applyFont="1" applyFill="1" applyBorder="1" applyAlignment="1">
      <alignment horizontal="center" vertical="center"/>
    </xf>
    <xf numFmtId="0" fontId="20" fillId="0" borderId="22" xfId="0" applyNumberFormat="1" applyFont="1" applyFill="1" applyBorder="1" applyAlignment="1">
      <alignment horizontal="center" vertical="center"/>
    </xf>
    <xf numFmtId="14" fontId="20" fillId="0" borderId="23" xfId="0" applyNumberFormat="1" applyFont="1" applyFill="1" applyBorder="1" applyAlignment="1">
      <alignment horizontal="center" vertical="center"/>
    </xf>
    <xf numFmtId="14" fontId="20" fillId="0" borderId="17" xfId="0" applyNumberFormat="1" applyFont="1" applyFill="1" applyBorder="1" applyAlignment="1">
      <alignment horizontal="center" vertical="center"/>
    </xf>
    <xf numFmtId="14" fontId="20" fillId="0" borderId="14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Alignment="1">
      <alignment horizontal="right" vertical="center" wrapText="1"/>
    </xf>
    <xf numFmtId="0" fontId="0" fillId="0" borderId="2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7" xfId="0" applyBorder="1" applyAlignment="1">
      <alignment wrapText="1"/>
    </xf>
    <xf numFmtId="0" fontId="0" fillId="0" borderId="0" xfId="0" applyBorder="1" applyAlignment="1">
      <alignment wrapText="1"/>
    </xf>
    <xf numFmtId="0" fontId="32" fillId="0" borderId="24" xfId="0" applyFont="1" applyBorder="1" applyAlignment="1">
      <alignment horizontal="center" wrapText="1"/>
    </xf>
    <xf numFmtId="0" fontId="32" fillId="0" borderId="25" xfId="0" applyFont="1" applyBorder="1" applyAlignment="1">
      <alignment horizontal="center" wrapText="1"/>
    </xf>
    <xf numFmtId="0" fontId="32" fillId="0" borderId="26" xfId="0" applyFont="1" applyBorder="1" applyAlignment="1">
      <alignment horizont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8" xfId="0" applyBorder="1" applyAlignment="1">
      <alignment wrapText="1"/>
    </xf>
    <xf numFmtId="0" fontId="32" fillId="0" borderId="27" xfId="0" applyFont="1" applyBorder="1" applyAlignment="1">
      <alignment vertical="top" wrapText="1"/>
    </xf>
    <xf numFmtId="0" fontId="32" fillId="0" borderId="0" xfId="0" applyFont="1" applyBorder="1" applyAlignment="1">
      <alignment vertical="top" wrapText="1"/>
    </xf>
    <xf numFmtId="0" fontId="32" fillId="0" borderId="28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Evgeniya\AppData\Local\Temp\l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381000</xdr:colOff>
      <xdr:row>3</xdr:row>
      <xdr:rowOff>0</xdr:rowOff>
    </xdr:to>
    <xdr:pic>
      <xdr:nvPicPr>
        <xdr:cNvPr id="2" name="Picture 1" descr="logo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view="pageBreakPreview" topLeftCell="A49" zoomScaleSheetLayoutView="100" workbookViewId="0">
      <selection activeCell="D81" sqref="D81"/>
    </sheetView>
  </sheetViews>
  <sheetFormatPr defaultRowHeight="15" x14ac:dyDescent="0.25"/>
  <cols>
    <col min="1" max="1" width="9.140625" style="124"/>
    <col min="2" max="2" width="6.5703125" style="125" customWidth="1"/>
    <col min="3" max="3" width="53.7109375" style="125" customWidth="1"/>
    <col min="4" max="4" width="12.42578125" style="125" customWidth="1"/>
    <col min="5" max="5" width="15" style="125" customWidth="1"/>
    <col min="6" max="7" width="9.140625" style="125"/>
    <col min="8" max="8" width="10.85546875" style="125" bestFit="1" customWidth="1"/>
    <col min="9" max="9" width="9.140625" style="173"/>
    <col min="10" max="16384" width="9.140625" style="125"/>
  </cols>
  <sheetData>
    <row r="1" spans="1:19" ht="15.75" x14ac:dyDescent="0.25">
      <c r="E1" s="88" t="s">
        <v>80</v>
      </c>
      <c r="F1" s="45"/>
      <c r="G1" s="45"/>
    </row>
    <row r="2" spans="1:19" ht="15.75" x14ac:dyDescent="0.25">
      <c r="E2" s="88" t="s">
        <v>146</v>
      </c>
      <c r="F2" s="25"/>
      <c r="G2" s="25"/>
      <c r="H2" s="25"/>
    </row>
    <row r="3" spans="1:19" ht="15.75" x14ac:dyDescent="0.25">
      <c r="E3" s="88"/>
      <c r="F3" s="25"/>
      <c r="G3" s="25"/>
      <c r="H3" s="25"/>
    </row>
    <row r="4" spans="1:19" ht="15.75" x14ac:dyDescent="0.25">
      <c r="E4" s="88" t="s">
        <v>147</v>
      </c>
      <c r="F4" s="45"/>
      <c r="H4" s="25"/>
    </row>
    <row r="5" spans="1:19" ht="15.75" x14ac:dyDescent="0.25">
      <c r="E5" s="88" t="s">
        <v>178</v>
      </c>
    </row>
    <row r="7" spans="1:19" ht="15.75" x14ac:dyDescent="0.25">
      <c r="C7" s="126" t="s">
        <v>81</v>
      </c>
    </row>
    <row r="8" spans="1:19" ht="15.75" x14ac:dyDescent="0.25">
      <c r="C8" s="126" t="s">
        <v>82</v>
      </c>
    </row>
    <row r="9" spans="1:19" ht="15.75" x14ac:dyDescent="0.25">
      <c r="C9" s="126" t="s">
        <v>153</v>
      </c>
    </row>
    <row r="10" spans="1:19" ht="15.75" x14ac:dyDescent="0.25">
      <c r="C10" s="126" t="s">
        <v>179</v>
      </c>
    </row>
    <row r="12" spans="1:19" ht="15.75" customHeight="1" x14ac:dyDescent="0.25">
      <c r="A12" s="189" t="s">
        <v>0</v>
      </c>
      <c r="B12" s="189"/>
      <c r="C12" s="189"/>
      <c r="D12" s="127">
        <v>3</v>
      </c>
      <c r="E12" s="128"/>
      <c r="L12" s="25"/>
      <c r="M12" s="25"/>
      <c r="N12" s="25"/>
      <c r="O12" s="25"/>
      <c r="P12" s="25"/>
      <c r="Q12" s="25"/>
      <c r="R12" s="25"/>
      <c r="S12" s="25"/>
    </row>
    <row r="13" spans="1:19" ht="15.75" customHeight="1" x14ac:dyDescent="0.25">
      <c r="A13" s="189" t="s">
        <v>131</v>
      </c>
      <c r="B13" s="189"/>
      <c r="C13" s="189"/>
      <c r="D13" s="127">
        <v>12</v>
      </c>
      <c r="E13" s="128"/>
      <c r="L13" s="25"/>
      <c r="M13" s="25"/>
      <c r="N13" s="25"/>
      <c r="O13" s="25"/>
      <c r="P13" s="25"/>
      <c r="Q13" s="25"/>
      <c r="R13" s="25"/>
      <c r="S13" s="25"/>
    </row>
    <row r="14" spans="1:19" ht="15.75" customHeight="1" x14ac:dyDescent="0.25">
      <c r="A14" s="189" t="s">
        <v>140</v>
      </c>
      <c r="B14" s="189"/>
      <c r="C14" s="189"/>
      <c r="D14" s="127">
        <v>2</v>
      </c>
      <c r="E14" s="128"/>
      <c r="L14" s="25"/>
      <c r="M14" s="25"/>
      <c r="N14" s="25"/>
      <c r="O14" s="25"/>
      <c r="P14" s="25"/>
      <c r="Q14" s="25"/>
      <c r="R14" s="25"/>
      <c r="S14" s="25"/>
    </row>
    <row r="15" spans="1:19" ht="15.75" customHeight="1" x14ac:dyDescent="0.25">
      <c r="A15" s="189" t="s">
        <v>89</v>
      </c>
      <c r="B15" s="189"/>
      <c r="C15" s="189"/>
      <c r="D15" s="127">
        <v>9</v>
      </c>
      <c r="E15" s="128"/>
      <c r="L15" s="25"/>
      <c r="M15" s="25"/>
      <c r="N15" s="25"/>
      <c r="O15" s="25"/>
      <c r="P15" s="25"/>
      <c r="Q15" s="25"/>
      <c r="R15" s="25"/>
      <c r="S15" s="25"/>
    </row>
    <row r="16" spans="1:19" ht="15.75" customHeight="1" x14ac:dyDescent="0.25">
      <c r="A16" s="192" t="s">
        <v>176</v>
      </c>
      <c r="B16" s="193"/>
      <c r="C16" s="194"/>
      <c r="D16" s="171">
        <v>1</v>
      </c>
      <c r="E16" s="128"/>
      <c r="L16" s="25"/>
      <c r="M16" s="25"/>
      <c r="N16" s="25"/>
      <c r="O16" s="25"/>
      <c r="P16" s="25"/>
      <c r="Q16" s="25"/>
      <c r="R16" s="25"/>
      <c r="S16" s="25"/>
    </row>
    <row r="17" spans="1:19" ht="15.75" customHeight="1" x14ac:dyDescent="0.25">
      <c r="A17" s="129"/>
      <c r="B17" s="129"/>
      <c r="C17" s="129"/>
      <c r="D17" s="130"/>
      <c r="E17" s="128"/>
      <c r="L17" s="25"/>
      <c r="M17" s="25"/>
      <c r="N17" s="25"/>
      <c r="O17" s="25"/>
      <c r="P17" s="25"/>
      <c r="Q17" s="25"/>
      <c r="R17" s="25"/>
      <c r="S17" s="25"/>
    </row>
    <row r="18" spans="1:19" ht="13.5" customHeight="1" x14ac:dyDescent="0.25">
      <c r="A18" s="131"/>
      <c r="B18" s="131"/>
      <c r="C18" s="131"/>
      <c r="D18" s="131"/>
      <c r="E18" s="131"/>
      <c r="L18" s="25"/>
      <c r="M18" s="25"/>
      <c r="N18" s="25"/>
      <c r="O18" s="25"/>
      <c r="P18" s="25"/>
      <c r="Q18" s="25"/>
      <c r="R18" s="25"/>
      <c r="S18" s="25"/>
    </row>
    <row r="19" spans="1:19" ht="40.5" customHeight="1" x14ac:dyDescent="0.25">
      <c r="A19" s="132"/>
      <c r="B19" s="133" t="s">
        <v>1</v>
      </c>
      <c r="C19" s="134" t="s">
        <v>2</v>
      </c>
      <c r="D19" s="134" t="s">
        <v>84</v>
      </c>
      <c r="E19" s="134" t="s">
        <v>171</v>
      </c>
    </row>
    <row r="20" spans="1:19" x14ac:dyDescent="0.25">
      <c r="A20" s="187" t="s">
        <v>3</v>
      </c>
      <c r="B20" s="116" t="s">
        <v>121</v>
      </c>
      <c r="C20" s="26" t="s">
        <v>83</v>
      </c>
      <c r="D20" s="135">
        <v>16086</v>
      </c>
      <c r="E20" s="135"/>
    </row>
    <row r="21" spans="1:19" x14ac:dyDescent="0.25">
      <c r="A21" s="187"/>
      <c r="B21" s="116"/>
      <c r="C21" s="26" t="s">
        <v>152</v>
      </c>
      <c r="D21" s="135">
        <f>D20*0</f>
        <v>0</v>
      </c>
      <c r="E21" s="135"/>
    </row>
    <row r="22" spans="1:19" x14ac:dyDescent="0.25">
      <c r="A22" s="187"/>
      <c r="B22" s="116"/>
      <c r="C22" s="26" t="s">
        <v>154</v>
      </c>
      <c r="D22" s="135">
        <f>D20*0.2</f>
        <v>3217.2000000000003</v>
      </c>
      <c r="E22" s="135"/>
    </row>
    <row r="23" spans="1:19" x14ac:dyDescent="0.25">
      <c r="A23" s="187"/>
      <c r="B23" s="116"/>
      <c r="C23" s="26" t="s">
        <v>184</v>
      </c>
      <c r="D23" s="135">
        <f>D20*0.5</f>
        <v>8043</v>
      </c>
      <c r="E23" s="135"/>
    </row>
    <row r="24" spans="1:19" x14ac:dyDescent="0.25">
      <c r="A24" s="187"/>
      <c r="B24" s="116"/>
      <c r="C24" s="26" t="s">
        <v>155</v>
      </c>
      <c r="D24" s="135">
        <f>D20*0.2</f>
        <v>3217.2000000000003</v>
      </c>
      <c r="E24" s="135"/>
    </row>
    <row r="25" spans="1:19" x14ac:dyDescent="0.25">
      <c r="A25" s="187"/>
      <c r="B25" s="116"/>
      <c r="C25" s="26" t="s">
        <v>148</v>
      </c>
      <c r="D25" s="135">
        <f>D20*0.15</f>
        <v>2412.9</v>
      </c>
      <c r="E25" s="135"/>
    </row>
    <row r="26" spans="1:19" x14ac:dyDescent="0.25">
      <c r="A26" s="187"/>
      <c r="B26" s="116"/>
      <c r="C26" s="26" t="s">
        <v>85</v>
      </c>
      <c r="D26" s="135">
        <f>SUM(D20:D25)*1.1</f>
        <v>36273.930000000008</v>
      </c>
      <c r="E26" s="135"/>
    </row>
    <row r="27" spans="1:19" x14ac:dyDescent="0.25">
      <c r="A27" s="187"/>
      <c r="B27" s="116"/>
      <c r="C27" s="136" t="s">
        <v>4</v>
      </c>
      <c r="D27" s="137">
        <f>SUM(D20:D26)</f>
        <v>69250.23000000001</v>
      </c>
      <c r="E27" s="137"/>
    </row>
    <row r="28" spans="1:19" x14ac:dyDescent="0.25">
      <c r="A28" s="187"/>
      <c r="B28" s="26"/>
      <c r="C28" s="26" t="s">
        <v>123</v>
      </c>
      <c r="D28" s="117">
        <v>18</v>
      </c>
      <c r="E28" s="135"/>
    </row>
    <row r="29" spans="1:19" x14ac:dyDescent="0.25">
      <c r="A29" s="187"/>
      <c r="B29" s="138"/>
      <c r="C29" s="26" t="s">
        <v>117</v>
      </c>
      <c r="D29" s="135">
        <f>D27/D28</f>
        <v>3847.2350000000006</v>
      </c>
      <c r="E29" s="139"/>
    </row>
    <row r="30" spans="1:19" ht="26.25" hidden="1" x14ac:dyDescent="0.25">
      <c r="A30" s="187"/>
      <c r="B30" s="138"/>
      <c r="C30" s="26" t="s">
        <v>118</v>
      </c>
      <c r="D30" s="135">
        <f>D29/1.1</f>
        <v>3497.4863636363639</v>
      </c>
      <c r="E30" s="139"/>
    </row>
    <row r="31" spans="1:19" x14ac:dyDescent="0.25">
      <c r="A31" s="187"/>
      <c r="B31" s="138"/>
      <c r="C31" s="26" t="s">
        <v>138</v>
      </c>
      <c r="D31" s="117">
        <f>D14*D12*D15*4</f>
        <v>216</v>
      </c>
      <c r="E31" s="139"/>
    </row>
    <row r="32" spans="1:19" x14ac:dyDescent="0.25">
      <c r="A32" s="187"/>
      <c r="B32" s="138"/>
      <c r="C32" s="26" t="s">
        <v>139</v>
      </c>
      <c r="D32" s="135">
        <f>D31/D15</f>
        <v>24</v>
      </c>
      <c r="E32" s="139"/>
    </row>
    <row r="33" spans="1:9" x14ac:dyDescent="0.25">
      <c r="A33" s="187"/>
      <c r="B33" s="138"/>
      <c r="C33" s="26" t="s">
        <v>122</v>
      </c>
      <c r="D33" s="135">
        <f>D32/4</f>
        <v>6</v>
      </c>
      <c r="E33" s="139"/>
    </row>
    <row r="34" spans="1:9" x14ac:dyDescent="0.25">
      <c r="A34" s="187"/>
      <c r="B34" s="138"/>
      <c r="C34" s="136" t="s">
        <v>5</v>
      </c>
      <c r="D34" s="139">
        <f>D29*D33</f>
        <v>23083.410000000003</v>
      </c>
      <c r="E34" s="139">
        <f>D34*D15</f>
        <v>207750.69000000003</v>
      </c>
    </row>
    <row r="35" spans="1:9" x14ac:dyDescent="0.25">
      <c r="A35" s="187"/>
      <c r="B35" s="138"/>
      <c r="C35" s="112" t="s">
        <v>6</v>
      </c>
      <c r="D35" s="118">
        <v>1</v>
      </c>
      <c r="E35" s="139"/>
    </row>
    <row r="36" spans="1:9" x14ac:dyDescent="0.25">
      <c r="A36" s="187"/>
      <c r="B36" s="138"/>
      <c r="C36" s="136" t="s">
        <v>7</v>
      </c>
      <c r="D36" s="139">
        <f>D34*D35</f>
        <v>23083.410000000003</v>
      </c>
      <c r="E36" s="172">
        <f>D36*D15</f>
        <v>207750.69000000003</v>
      </c>
    </row>
    <row r="37" spans="1:9" x14ac:dyDescent="0.25">
      <c r="A37" s="187" t="s">
        <v>8</v>
      </c>
      <c r="B37" s="116" t="s">
        <v>9</v>
      </c>
      <c r="C37" s="26" t="s">
        <v>10</v>
      </c>
      <c r="D37" s="135">
        <v>10760</v>
      </c>
      <c r="E37" s="135"/>
    </row>
    <row r="38" spans="1:9" hidden="1" x14ac:dyDescent="0.25">
      <c r="A38" s="187"/>
      <c r="B38" s="140"/>
      <c r="C38" s="26" t="s">
        <v>120</v>
      </c>
      <c r="D38" s="135">
        <v>0</v>
      </c>
      <c r="E38" s="135"/>
    </row>
    <row r="39" spans="1:9" x14ac:dyDescent="0.25">
      <c r="A39" s="187"/>
      <c r="B39" s="26"/>
      <c r="C39" s="26" t="s">
        <v>85</v>
      </c>
      <c r="D39" s="135">
        <f>(D37+D38)*1.1</f>
        <v>11836.000000000002</v>
      </c>
      <c r="E39" s="135"/>
    </row>
    <row r="40" spans="1:9" x14ac:dyDescent="0.25">
      <c r="A40" s="187"/>
      <c r="B40" s="26"/>
      <c r="C40" s="136" t="s">
        <v>4</v>
      </c>
      <c r="D40" s="137">
        <f>SUM(D37:D39)</f>
        <v>22596</v>
      </c>
      <c r="E40" s="137"/>
    </row>
    <row r="41" spans="1:9" x14ac:dyDescent="0.25">
      <c r="A41" s="187"/>
      <c r="B41" s="26"/>
      <c r="C41" s="26" t="s">
        <v>115</v>
      </c>
      <c r="D41" s="141">
        <f>площадь!C7</f>
        <v>4.3875728155339804</v>
      </c>
      <c r="E41" s="137"/>
    </row>
    <row r="42" spans="1:9" ht="26.25" x14ac:dyDescent="0.25">
      <c r="A42" s="187"/>
      <c r="B42" s="26"/>
      <c r="C42" s="26" t="s">
        <v>116</v>
      </c>
      <c r="D42" s="141">
        <f>D41/1.1</f>
        <v>3.9887025595763457</v>
      </c>
      <c r="E42" s="137"/>
    </row>
    <row r="43" spans="1:9" x14ac:dyDescent="0.25">
      <c r="A43" s="187"/>
      <c r="B43" s="26"/>
      <c r="C43" s="142" t="s">
        <v>137</v>
      </c>
      <c r="D43" s="143">
        <v>4.5</v>
      </c>
      <c r="E43" s="137"/>
    </row>
    <row r="44" spans="1:9" x14ac:dyDescent="0.25">
      <c r="A44" s="187"/>
      <c r="B44" s="26"/>
      <c r="C44" s="136" t="s">
        <v>11</v>
      </c>
      <c r="D44" s="118">
        <f>D43*D41*D32</f>
        <v>473.85786407766989</v>
      </c>
      <c r="E44" s="172">
        <f>D44*D15</f>
        <v>4264.7207766990286</v>
      </c>
      <c r="G44" s="144"/>
    </row>
    <row r="45" spans="1:9" x14ac:dyDescent="0.25">
      <c r="A45" s="187" t="s">
        <v>12</v>
      </c>
      <c r="B45" s="116" t="s">
        <v>13</v>
      </c>
      <c r="C45" s="145" t="s">
        <v>143</v>
      </c>
      <c r="D45" s="135">
        <f>(D36+D44)*15%</f>
        <v>3533.5901796116509</v>
      </c>
      <c r="E45" s="139"/>
    </row>
    <row r="46" spans="1:9" x14ac:dyDescent="0.25">
      <c r="A46" s="187"/>
      <c r="B46" s="116"/>
      <c r="C46" s="26" t="s">
        <v>124</v>
      </c>
      <c r="D46" s="135">
        <f>D45*0.5</f>
        <v>1766.7950898058255</v>
      </c>
      <c r="E46" s="139"/>
      <c r="H46" s="149">
        <f>E57+E50+E44+E36</f>
        <v>406474.88546403358</v>
      </c>
      <c r="I46" s="173">
        <f>H46/1000</f>
        <v>406.4748854640336</v>
      </c>
    </row>
    <row r="47" spans="1:9" x14ac:dyDescent="0.25">
      <c r="A47" s="187"/>
      <c r="B47" s="116"/>
      <c r="C47" s="26" t="s">
        <v>85</v>
      </c>
      <c r="D47" s="135">
        <f>SUM(D45:D46)*1.1</f>
        <v>5830.423796359225</v>
      </c>
      <c r="E47" s="139"/>
    </row>
    <row r="48" spans="1:9" x14ac:dyDescent="0.25">
      <c r="A48" s="187"/>
      <c r="B48" s="116"/>
      <c r="C48" s="136" t="s">
        <v>4</v>
      </c>
      <c r="D48" s="135">
        <f>D45+D47+D46</f>
        <v>11130.809065776702</v>
      </c>
      <c r="E48" s="139"/>
    </row>
    <row r="49" spans="1:8" ht="26.25" x14ac:dyDescent="0.25">
      <c r="A49" s="187"/>
      <c r="B49" s="116"/>
      <c r="C49" s="26" t="s">
        <v>118</v>
      </c>
      <c r="D49" s="135">
        <f>D48/D32/1.1</f>
        <v>421.62155552184475</v>
      </c>
      <c r="E49" s="139"/>
    </row>
    <row r="50" spans="1:8" x14ac:dyDescent="0.25">
      <c r="A50" s="187"/>
      <c r="B50" s="26"/>
      <c r="C50" s="138" t="s">
        <v>14</v>
      </c>
      <c r="D50" s="139">
        <f>SUM(D45:D47)</f>
        <v>11130.809065776702</v>
      </c>
      <c r="E50" s="172">
        <f>D50*D15</f>
        <v>100177.28159199032</v>
      </c>
    </row>
    <row r="51" spans="1:8" x14ac:dyDescent="0.25">
      <c r="A51" s="187" t="s">
        <v>15</v>
      </c>
      <c r="B51" s="116" t="s">
        <v>16</v>
      </c>
      <c r="C51" s="26" t="s">
        <v>17</v>
      </c>
      <c r="D51" s="146">
        <v>0.22</v>
      </c>
      <c r="E51" s="139"/>
    </row>
    <row r="52" spans="1:8" x14ac:dyDescent="0.25">
      <c r="A52" s="187"/>
      <c r="B52" s="26"/>
      <c r="C52" s="26" t="s">
        <v>18</v>
      </c>
      <c r="D52" s="147">
        <v>5.0999999999999997E-2</v>
      </c>
      <c r="E52" s="139"/>
    </row>
    <row r="53" spans="1:8" x14ac:dyDescent="0.25">
      <c r="A53" s="187"/>
      <c r="B53" s="26"/>
      <c r="C53" s="26" t="s">
        <v>19</v>
      </c>
      <c r="D53" s="147"/>
      <c r="E53" s="139"/>
    </row>
    <row r="54" spans="1:8" x14ac:dyDescent="0.25">
      <c r="A54" s="187"/>
      <c r="B54" s="26"/>
      <c r="C54" s="26" t="s">
        <v>20</v>
      </c>
      <c r="D54" s="147">
        <v>2.9000000000000001E-2</v>
      </c>
      <c r="E54" s="139"/>
      <c r="H54" s="148">
        <f>D36+D44+D50</f>
        <v>34688.076929854375</v>
      </c>
    </row>
    <row r="55" spans="1:8" x14ac:dyDescent="0.25">
      <c r="A55" s="187"/>
      <c r="B55" s="26"/>
      <c r="C55" s="26" t="s">
        <v>21</v>
      </c>
      <c r="D55" s="147">
        <v>2E-3</v>
      </c>
      <c r="E55" s="139"/>
      <c r="H55" s="148">
        <f>H54*0.302</f>
        <v>10475.799232816022</v>
      </c>
    </row>
    <row r="56" spans="1:8" x14ac:dyDescent="0.25">
      <c r="A56" s="187"/>
      <c r="B56" s="26"/>
      <c r="C56" s="136" t="s">
        <v>22</v>
      </c>
      <c r="D56" s="147">
        <f>SUM(D51:D55)</f>
        <v>0.30200000000000005</v>
      </c>
      <c r="E56" s="139"/>
      <c r="H56" s="149">
        <f>H54+H55</f>
        <v>45163.876162670393</v>
      </c>
    </row>
    <row r="57" spans="1:8" x14ac:dyDescent="0.25">
      <c r="A57" s="187"/>
      <c r="B57" s="26"/>
      <c r="C57" s="136" t="s">
        <v>23</v>
      </c>
      <c r="D57" s="139">
        <f>(D44+D36+D50)*D56</f>
        <v>10475.799232816024</v>
      </c>
      <c r="E57" s="172">
        <f>D57*D15</f>
        <v>94282.193095344206</v>
      </c>
      <c r="H57" s="149"/>
    </row>
    <row r="58" spans="1:8" ht="26.25" x14ac:dyDescent="0.25">
      <c r="A58" s="187" t="s">
        <v>24</v>
      </c>
      <c r="B58" s="116" t="s">
        <v>25</v>
      </c>
      <c r="C58" s="26" t="s">
        <v>37</v>
      </c>
      <c r="D58" s="117">
        <f>D59*D60</f>
        <v>0.72</v>
      </c>
      <c r="E58" s="135"/>
      <c r="H58" s="149"/>
    </row>
    <row r="59" spans="1:8" x14ac:dyDescent="0.25">
      <c r="A59" s="187"/>
      <c r="B59" s="116"/>
      <c r="C59" s="150" t="s">
        <v>144</v>
      </c>
      <c r="D59" s="117">
        <v>0.36</v>
      </c>
      <c r="E59" s="135"/>
    </row>
    <row r="60" spans="1:8" x14ac:dyDescent="0.25">
      <c r="A60" s="187"/>
      <c r="B60" s="116"/>
      <c r="C60" s="150" t="s">
        <v>26</v>
      </c>
      <c r="D60" s="117">
        <v>2</v>
      </c>
      <c r="E60" s="135"/>
    </row>
    <row r="61" spans="1:8" ht="26.25" x14ac:dyDescent="0.25">
      <c r="A61" s="187"/>
      <c r="B61" s="116"/>
      <c r="C61" s="26" t="s">
        <v>27</v>
      </c>
      <c r="D61" s="117">
        <f>D58*D32</f>
        <v>17.28</v>
      </c>
      <c r="E61" s="135"/>
    </row>
    <row r="62" spans="1:8" x14ac:dyDescent="0.25">
      <c r="A62" s="187"/>
      <c r="B62" s="26"/>
      <c r="C62" s="26" t="s">
        <v>173</v>
      </c>
      <c r="D62" s="117">
        <v>13.31</v>
      </c>
      <c r="E62" s="135"/>
    </row>
    <row r="63" spans="1:8" x14ac:dyDescent="0.25">
      <c r="A63" s="187"/>
      <c r="B63" s="188" t="s">
        <v>28</v>
      </c>
      <c r="C63" s="188"/>
      <c r="D63" s="139">
        <f>D61*D62</f>
        <v>229.99680000000004</v>
      </c>
      <c r="E63" s="139">
        <f>D63*D15</f>
        <v>2069.9712000000004</v>
      </c>
    </row>
    <row r="64" spans="1:8" ht="38.25" customHeight="1" x14ac:dyDescent="0.25">
      <c r="A64" s="190" t="s">
        <v>29</v>
      </c>
      <c r="B64" s="113" t="s">
        <v>30</v>
      </c>
      <c r="C64" s="114" t="s">
        <v>86</v>
      </c>
      <c r="D64" s="151">
        <f>расход.материал!F56</f>
        <v>5933.333333333333</v>
      </c>
      <c r="E64" s="152"/>
    </row>
    <row r="65" spans="1:9" ht="16.5" customHeight="1" x14ac:dyDescent="0.25">
      <c r="A65" s="190"/>
      <c r="B65" s="191" t="s">
        <v>31</v>
      </c>
      <c r="C65" s="191"/>
      <c r="D65" s="115">
        <f>SUM(D64:D64)</f>
        <v>5933.333333333333</v>
      </c>
      <c r="E65" s="115">
        <f>D65*D15</f>
        <v>53400</v>
      </c>
    </row>
    <row r="66" spans="1:9" x14ac:dyDescent="0.25">
      <c r="A66" s="187" t="s">
        <v>32</v>
      </c>
      <c r="B66" s="116" t="s">
        <v>33</v>
      </c>
      <c r="C66" s="74" t="s">
        <v>185</v>
      </c>
      <c r="D66" s="117">
        <v>1000</v>
      </c>
      <c r="E66" s="153"/>
    </row>
    <row r="67" spans="1:9" x14ac:dyDescent="0.25">
      <c r="A67" s="187"/>
      <c r="B67" s="116"/>
      <c r="C67" s="74" t="s">
        <v>109</v>
      </c>
      <c r="D67" s="117">
        <v>1000</v>
      </c>
      <c r="E67" s="153"/>
    </row>
    <row r="68" spans="1:9" x14ac:dyDescent="0.25">
      <c r="A68" s="187"/>
      <c r="B68" s="116"/>
      <c r="C68" s="26" t="s">
        <v>177</v>
      </c>
      <c r="D68" s="117">
        <v>500</v>
      </c>
      <c r="E68" s="153"/>
    </row>
    <row r="69" spans="1:9" x14ac:dyDescent="0.25">
      <c r="A69" s="187"/>
      <c r="B69" s="188" t="s">
        <v>34</v>
      </c>
      <c r="C69" s="188"/>
      <c r="D69" s="118">
        <f>SUM(D66:D68)</f>
        <v>2500</v>
      </c>
      <c r="E69" s="139">
        <f>D69*D15</f>
        <v>22500</v>
      </c>
    </row>
    <row r="70" spans="1:9" x14ac:dyDescent="0.25">
      <c r="A70" s="196" t="s">
        <v>35</v>
      </c>
      <c r="B70" s="196"/>
      <c r="C70" s="196"/>
      <c r="D70" s="154">
        <f>(D65+D36+D44+D50+D57+D63+D69)</f>
        <v>53827.206296003729</v>
      </c>
      <c r="E70" s="155">
        <f>D70*D15</f>
        <v>484444.85666403355</v>
      </c>
    </row>
    <row r="71" spans="1:9" hidden="1" x14ac:dyDescent="0.25">
      <c r="A71" s="197" t="s">
        <v>119</v>
      </c>
      <c r="B71" s="197"/>
      <c r="C71" s="156" t="s">
        <v>172</v>
      </c>
      <c r="D71" s="157"/>
      <c r="E71" s="158">
        <f>D71*D15</f>
        <v>0</v>
      </c>
      <c r="I71" s="173">
        <f>E72/1000</f>
        <v>484.44485666403352</v>
      </c>
    </row>
    <row r="72" spans="1:9" x14ac:dyDescent="0.25">
      <c r="A72" s="198" t="s">
        <v>38</v>
      </c>
      <c r="B72" s="198"/>
      <c r="C72" s="198"/>
      <c r="D72" s="154">
        <f>D70+D71</f>
        <v>53827.206296003729</v>
      </c>
      <c r="E72" s="155">
        <f>D72*D15</f>
        <v>484444.85666403355</v>
      </c>
    </row>
    <row r="73" spans="1:9" x14ac:dyDescent="0.25">
      <c r="A73" s="159"/>
      <c r="B73" s="159"/>
      <c r="C73" s="159"/>
      <c r="D73" s="160"/>
      <c r="E73" s="161"/>
    </row>
    <row r="74" spans="1:9" ht="25.5" customHeight="1" x14ac:dyDescent="0.25">
      <c r="A74" s="200" t="s">
        <v>36</v>
      </c>
      <c r="B74" s="200"/>
      <c r="C74" s="200"/>
      <c r="D74" s="200"/>
      <c r="E74" s="201"/>
    </row>
    <row r="75" spans="1:9" x14ac:dyDescent="0.25">
      <c r="A75" s="199" t="s">
        <v>145</v>
      </c>
      <c r="B75" s="199"/>
      <c r="C75" s="199"/>
      <c r="D75" s="162">
        <f>D13</f>
        <v>12</v>
      </c>
      <c r="E75" s="163"/>
    </row>
    <row r="76" spans="1:9" x14ac:dyDescent="0.25">
      <c r="A76" s="189" t="s">
        <v>135</v>
      </c>
      <c r="B76" s="189"/>
      <c r="C76" s="189"/>
      <c r="D76" s="164">
        <f>D14*D12*4</f>
        <v>24</v>
      </c>
      <c r="E76" s="163"/>
    </row>
    <row r="77" spans="1:9" x14ac:dyDescent="0.25">
      <c r="A77" s="189" t="s">
        <v>134</v>
      </c>
      <c r="B77" s="189"/>
      <c r="C77" s="189"/>
      <c r="D77" s="165">
        <f>SUM(D72/D75)</f>
        <v>4485.6005246669774</v>
      </c>
      <c r="E77" s="166"/>
    </row>
    <row r="78" spans="1:9" hidden="1" x14ac:dyDescent="0.25">
      <c r="A78" s="189" t="s">
        <v>90</v>
      </c>
      <c r="B78" s="189"/>
      <c r="C78" s="189"/>
      <c r="D78" s="165"/>
      <c r="E78" s="166"/>
    </row>
    <row r="79" spans="1:9" x14ac:dyDescent="0.25">
      <c r="A79" s="198" t="s">
        <v>136</v>
      </c>
      <c r="B79" s="198"/>
      <c r="C79" s="198"/>
      <c r="D79" s="87">
        <f>D77+D78</f>
        <v>4485.6005246669774</v>
      </c>
      <c r="E79" s="167"/>
    </row>
    <row r="80" spans="1:9" ht="21.75" customHeight="1" x14ac:dyDescent="0.25"/>
    <row r="81" spans="1:5" x14ac:dyDescent="0.25">
      <c r="A81" s="174" t="s">
        <v>169</v>
      </c>
      <c r="B81" s="174"/>
      <c r="C81" s="174"/>
      <c r="D81" s="180">
        <v>4400</v>
      </c>
      <c r="E81" s="168" t="s">
        <v>141</v>
      </c>
    </row>
    <row r="83" spans="1:5" ht="15.75" x14ac:dyDescent="0.25">
      <c r="A83" s="68"/>
    </row>
    <row r="84" spans="1:5" x14ac:dyDescent="0.25">
      <c r="A84" s="195"/>
      <c r="B84" s="195"/>
      <c r="C84" s="195"/>
      <c r="D84" s="195"/>
      <c r="E84" s="195"/>
    </row>
  </sheetData>
  <mergeCells count="25">
    <mergeCell ref="A84:E84"/>
    <mergeCell ref="A70:C70"/>
    <mergeCell ref="A71:B71"/>
    <mergeCell ref="A72:C72"/>
    <mergeCell ref="A75:C75"/>
    <mergeCell ref="A76:C76"/>
    <mergeCell ref="A77:C77"/>
    <mergeCell ref="A78:C78"/>
    <mergeCell ref="A79:C79"/>
    <mergeCell ref="A74:E74"/>
    <mergeCell ref="A66:A69"/>
    <mergeCell ref="B69:C69"/>
    <mergeCell ref="A20:A36"/>
    <mergeCell ref="A12:C12"/>
    <mergeCell ref="A13:C13"/>
    <mergeCell ref="A14:C14"/>
    <mergeCell ref="A15:C15"/>
    <mergeCell ref="A37:A44"/>
    <mergeCell ref="A45:A50"/>
    <mergeCell ref="A51:A57"/>
    <mergeCell ref="A58:A63"/>
    <mergeCell ref="B63:C63"/>
    <mergeCell ref="A64:A65"/>
    <mergeCell ref="B65:C65"/>
    <mergeCell ref="A16:C1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9" fitToHeight="2" orientation="portrait" r:id="rId1"/>
  <rowBreaks count="1" manualBreakCount="1">
    <brk id="5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61"/>
  <sheetViews>
    <sheetView view="pageBreakPreview" topLeftCell="A4" zoomScale="130" zoomScaleSheetLayoutView="130" workbookViewId="0">
      <selection activeCell="E7" sqref="E7"/>
    </sheetView>
  </sheetViews>
  <sheetFormatPr defaultRowHeight="12.75" x14ac:dyDescent="0.25"/>
  <cols>
    <col min="1" max="1" width="3.42578125" style="71" customWidth="1"/>
    <col min="2" max="2" width="4.140625" style="70" customWidth="1"/>
    <col min="3" max="3" width="40.28515625" style="81" customWidth="1"/>
    <col min="4" max="4" width="12.42578125" style="71" customWidth="1"/>
    <col min="5" max="5" width="10.7109375" style="71" customWidth="1"/>
    <col min="6" max="6" width="12.85546875" style="71" customWidth="1"/>
    <col min="7" max="16384" width="9.140625" style="71"/>
  </cols>
  <sheetData>
    <row r="1" spans="2:6" ht="15.75" x14ac:dyDescent="0.25">
      <c r="C1" s="202" t="s">
        <v>103</v>
      </c>
      <c r="D1" s="202"/>
      <c r="E1" s="202"/>
      <c r="F1" s="202"/>
    </row>
    <row r="2" spans="2:6" ht="15.75" x14ac:dyDescent="0.25">
      <c r="C2" s="203" t="str">
        <f>Калькуляция!C9</f>
        <v>"От звука-к слову"</v>
      </c>
      <c r="D2" s="203"/>
      <c r="E2" s="203"/>
      <c r="F2" s="203"/>
    </row>
    <row r="3" spans="2:6" ht="15.75" x14ac:dyDescent="0.25">
      <c r="C3" s="204" t="s">
        <v>133</v>
      </c>
      <c r="D3" s="204"/>
      <c r="E3" s="204"/>
      <c r="F3" s="204"/>
    </row>
    <row r="4" spans="2:6" s="70" customFormat="1" ht="25.5" x14ac:dyDescent="0.25">
      <c r="B4" s="72" t="s">
        <v>104</v>
      </c>
      <c r="C4" s="72" t="s">
        <v>105</v>
      </c>
      <c r="D4" s="73" t="s">
        <v>106</v>
      </c>
      <c r="E4" s="73" t="s">
        <v>107</v>
      </c>
      <c r="F4" s="73" t="s">
        <v>108</v>
      </c>
    </row>
    <row r="5" spans="2:6" ht="15.75" customHeight="1" x14ac:dyDescent="0.25">
      <c r="B5" s="73">
        <v>2</v>
      </c>
      <c r="C5" s="74" t="s">
        <v>156</v>
      </c>
      <c r="D5" s="75">
        <v>15</v>
      </c>
      <c r="E5" s="75">
        <v>800</v>
      </c>
      <c r="F5" s="76">
        <f t="shared" ref="F5:F54" si="0">D5*E5</f>
        <v>12000</v>
      </c>
    </row>
    <row r="6" spans="2:6" ht="15.75" customHeight="1" x14ac:dyDescent="0.25">
      <c r="B6" s="169">
        <v>3</v>
      </c>
      <c r="C6" s="74" t="s">
        <v>157</v>
      </c>
      <c r="D6" s="75">
        <v>15</v>
      </c>
      <c r="E6" s="75">
        <v>500</v>
      </c>
      <c r="F6" s="76">
        <f t="shared" si="0"/>
        <v>7500</v>
      </c>
    </row>
    <row r="7" spans="2:6" ht="15.75" customHeight="1" x14ac:dyDescent="0.25">
      <c r="B7" s="169">
        <v>4</v>
      </c>
      <c r="C7" s="74" t="s">
        <v>158</v>
      </c>
      <c r="D7" s="75">
        <v>3</v>
      </c>
      <c r="E7" s="75">
        <v>1500</v>
      </c>
      <c r="F7" s="76">
        <f t="shared" si="0"/>
        <v>4500</v>
      </c>
    </row>
    <row r="8" spans="2:6" ht="15.75" customHeight="1" x14ac:dyDescent="0.25">
      <c r="B8" s="73">
        <v>5</v>
      </c>
      <c r="C8" s="74" t="s">
        <v>159</v>
      </c>
      <c r="D8" s="75">
        <v>10</v>
      </c>
      <c r="E8" s="75">
        <v>300</v>
      </c>
      <c r="F8" s="76">
        <f t="shared" si="0"/>
        <v>3000</v>
      </c>
    </row>
    <row r="9" spans="2:6" ht="15.75" customHeight="1" x14ac:dyDescent="0.25">
      <c r="B9" s="169">
        <v>6</v>
      </c>
      <c r="C9" s="74" t="s">
        <v>160</v>
      </c>
      <c r="D9" s="75">
        <v>40</v>
      </c>
      <c r="E9" s="75">
        <v>75</v>
      </c>
      <c r="F9" s="76">
        <f t="shared" si="0"/>
        <v>3000</v>
      </c>
    </row>
    <row r="10" spans="2:6" ht="15.75" customHeight="1" x14ac:dyDescent="0.25">
      <c r="B10" s="73">
        <v>8</v>
      </c>
      <c r="C10" s="74" t="s">
        <v>161</v>
      </c>
      <c r="D10" s="75">
        <v>2</v>
      </c>
      <c r="E10" s="75">
        <v>700</v>
      </c>
      <c r="F10" s="76">
        <f t="shared" si="0"/>
        <v>1400</v>
      </c>
    </row>
    <row r="11" spans="2:6" ht="15.75" customHeight="1" x14ac:dyDescent="0.2">
      <c r="B11" s="169">
        <v>9</v>
      </c>
      <c r="C11" s="175" t="s">
        <v>162</v>
      </c>
      <c r="D11" s="176">
        <v>20</v>
      </c>
      <c r="E11" s="177">
        <v>25</v>
      </c>
      <c r="F11" s="76">
        <f t="shared" si="0"/>
        <v>500</v>
      </c>
    </row>
    <row r="12" spans="2:6" ht="15.75" customHeight="1" x14ac:dyDescent="0.2">
      <c r="B12" s="169">
        <v>10</v>
      </c>
      <c r="C12" s="175" t="s">
        <v>163</v>
      </c>
      <c r="D12" s="176">
        <v>100</v>
      </c>
      <c r="E12" s="177">
        <v>15</v>
      </c>
      <c r="F12" s="76">
        <f t="shared" si="0"/>
        <v>1500</v>
      </c>
    </row>
    <row r="13" spans="2:6" ht="15.75" customHeight="1" x14ac:dyDescent="0.2">
      <c r="B13" s="73">
        <v>11</v>
      </c>
      <c r="C13" s="175" t="s">
        <v>164</v>
      </c>
      <c r="D13" s="176">
        <v>3</v>
      </c>
      <c r="E13" s="177">
        <v>1500</v>
      </c>
      <c r="F13" s="76">
        <f t="shared" si="0"/>
        <v>4500</v>
      </c>
    </row>
    <row r="14" spans="2:6" ht="15.75" customHeight="1" x14ac:dyDescent="0.2">
      <c r="B14" s="169">
        <v>12</v>
      </c>
      <c r="C14" s="175" t="s">
        <v>165</v>
      </c>
      <c r="D14" s="176">
        <v>100</v>
      </c>
      <c r="E14" s="177">
        <v>40</v>
      </c>
      <c r="F14" s="76">
        <f>D14*E14</f>
        <v>4000</v>
      </c>
    </row>
    <row r="15" spans="2:6" ht="15.75" customHeight="1" x14ac:dyDescent="0.2">
      <c r="B15" s="169">
        <v>13</v>
      </c>
      <c r="C15" s="175" t="s">
        <v>166</v>
      </c>
      <c r="D15" s="176">
        <v>50</v>
      </c>
      <c r="E15" s="177">
        <v>50</v>
      </c>
      <c r="F15" s="76">
        <f t="shared" si="0"/>
        <v>2500</v>
      </c>
    </row>
    <row r="16" spans="2:6" ht="15.75" customHeight="1" x14ac:dyDescent="0.2">
      <c r="B16" s="73">
        <v>14</v>
      </c>
      <c r="C16" s="175" t="s">
        <v>167</v>
      </c>
      <c r="D16" s="176">
        <v>5</v>
      </c>
      <c r="E16" s="177">
        <v>1300</v>
      </c>
      <c r="F16" s="76">
        <f t="shared" si="0"/>
        <v>6500</v>
      </c>
    </row>
    <row r="17" spans="2:6" ht="15.75" customHeight="1" x14ac:dyDescent="0.2">
      <c r="B17" s="169">
        <v>15</v>
      </c>
      <c r="C17" s="175" t="s">
        <v>168</v>
      </c>
      <c r="D17" s="75">
        <v>5</v>
      </c>
      <c r="E17" s="178">
        <v>500</v>
      </c>
      <c r="F17" s="76">
        <f t="shared" si="0"/>
        <v>2500</v>
      </c>
    </row>
    <row r="18" spans="2:6" ht="15.75" hidden="1" customHeight="1" x14ac:dyDescent="0.25">
      <c r="B18" s="169"/>
      <c r="C18" s="74"/>
      <c r="D18" s="75"/>
      <c r="E18" s="75"/>
      <c r="F18" s="76">
        <f t="shared" si="0"/>
        <v>0</v>
      </c>
    </row>
    <row r="19" spans="2:6" ht="15.75" hidden="1" customHeight="1" x14ac:dyDescent="0.25">
      <c r="B19" s="73"/>
      <c r="C19" s="74"/>
      <c r="D19" s="75"/>
      <c r="E19" s="75"/>
      <c r="F19" s="76">
        <f t="shared" si="0"/>
        <v>0</v>
      </c>
    </row>
    <row r="20" spans="2:6" ht="15.75" hidden="1" customHeight="1" x14ac:dyDescent="0.25">
      <c r="B20" s="73"/>
      <c r="C20" s="74"/>
      <c r="D20" s="75"/>
      <c r="E20" s="75"/>
      <c r="F20" s="76">
        <f t="shared" si="0"/>
        <v>0</v>
      </c>
    </row>
    <row r="21" spans="2:6" ht="15.75" hidden="1" customHeight="1" x14ac:dyDescent="0.25">
      <c r="B21" s="169"/>
      <c r="C21" s="74"/>
      <c r="D21" s="75"/>
      <c r="E21" s="75"/>
      <c r="F21" s="76">
        <f t="shared" si="0"/>
        <v>0</v>
      </c>
    </row>
    <row r="22" spans="2:6" ht="15.75" hidden="1" customHeight="1" x14ac:dyDescent="0.25">
      <c r="B22" s="73"/>
      <c r="C22" s="74"/>
      <c r="D22" s="75"/>
      <c r="E22" s="75"/>
      <c r="F22" s="76">
        <f t="shared" si="0"/>
        <v>0</v>
      </c>
    </row>
    <row r="23" spans="2:6" ht="15.75" hidden="1" customHeight="1" x14ac:dyDescent="0.2">
      <c r="B23" s="73"/>
      <c r="C23" s="175"/>
      <c r="D23" s="176"/>
      <c r="E23" s="177"/>
      <c r="F23" s="76">
        <f t="shared" si="0"/>
        <v>0</v>
      </c>
    </row>
    <row r="24" spans="2:6" ht="15.75" hidden="1" customHeight="1" x14ac:dyDescent="0.2">
      <c r="B24" s="169"/>
      <c r="C24" s="175"/>
      <c r="D24" s="176"/>
      <c r="E24" s="177"/>
      <c r="F24" s="76">
        <f t="shared" si="0"/>
        <v>0</v>
      </c>
    </row>
    <row r="25" spans="2:6" ht="15.75" hidden="1" customHeight="1" x14ac:dyDescent="0.2">
      <c r="B25" s="73"/>
      <c r="C25" s="175"/>
      <c r="D25" s="176"/>
      <c r="E25" s="177"/>
      <c r="F25" s="76">
        <f t="shared" si="0"/>
        <v>0</v>
      </c>
    </row>
    <row r="26" spans="2:6" ht="15.75" hidden="1" customHeight="1" x14ac:dyDescent="0.2">
      <c r="B26" s="73"/>
      <c r="C26" s="175"/>
      <c r="D26" s="176"/>
      <c r="E26" s="177"/>
      <c r="F26" s="76">
        <f t="shared" si="0"/>
        <v>0</v>
      </c>
    </row>
    <row r="27" spans="2:6" ht="15.75" hidden="1" customHeight="1" x14ac:dyDescent="0.2">
      <c r="B27" s="169">
        <v>13</v>
      </c>
      <c r="C27" s="175"/>
      <c r="D27" s="176"/>
      <c r="E27" s="177"/>
      <c r="F27" s="76">
        <f t="shared" si="0"/>
        <v>0</v>
      </c>
    </row>
    <row r="28" spans="2:6" ht="15.75" hidden="1" customHeight="1" x14ac:dyDescent="0.2">
      <c r="B28" s="73">
        <v>14</v>
      </c>
      <c r="C28" s="175"/>
      <c r="D28" s="176"/>
      <c r="E28" s="177"/>
      <c r="F28" s="76">
        <f t="shared" si="0"/>
        <v>0</v>
      </c>
    </row>
    <row r="29" spans="2:6" ht="15.75" hidden="1" customHeight="1" x14ac:dyDescent="0.2">
      <c r="B29" s="73">
        <v>15</v>
      </c>
      <c r="C29" s="175"/>
      <c r="D29" s="75"/>
      <c r="E29" s="178"/>
      <c r="F29" s="76">
        <f t="shared" si="0"/>
        <v>0</v>
      </c>
    </row>
    <row r="30" spans="2:6" ht="15.75" hidden="1" customHeight="1" x14ac:dyDescent="0.2">
      <c r="B30" s="169">
        <v>16</v>
      </c>
      <c r="C30" s="175"/>
      <c r="D30" s="75"/>
      <c r="E30" s="178"/>
      <c r="F30" s="76">
        <f t="shared" si="0"/>
        <v>0</v>
      </c>
    </row>
    <row r="31" spans="2:6" ht="15.75" hidden="1" customHeight="1" x14ac:dyDescent="0.25">
      <c r="B31" s="73">
        <v>17</v>
      </c>
      <c r="C31" s="74"/>
      <c r="D31" s="75"/>
      <c r="E31" s="178"/>
      <c r="F31" s="76">
        <f t="shared" si="0"/>
        <v>0</v>
      </c>
    </row>
    <row r="32" spans="2:6" ht="15.75" hidden="1" customHeight="1" x14ac:dyDescent="0.25">
      <c r="B32" s="73">
        <v>18</v>
      </c>
      <c r="C32" s="74"/>
      <c r="D32" s="75"/>
      <c r="E32" s="178"/>
      <c r="F32" s="76">
        <f t="shared" si="0"/>
        <v>0</v>
      </c>
    </row>
    <row r="33" spans="2:6" ht="15.75" hidden="1" customHeight="1" x14ac:dyDescent="0.2">
      <c r="B33" s="169">
        <v>19</v>
      </c>
      <c r="C33" s="175"/>
      <c r="D33" s="176"/>
      <c r="E33" s="177"/>
      <c r="F33" s="76">
        <f t="shared" si="0"/>
        <v>0</v>
      </c>
    </row>
    <row r="34" spans="2:6" ht="15.75" hidden="1" customHeight="1" x14ac:dyDescent="0.2">
      <c r="B34" s="73">
        <v>20</v>
      </c>
      <c r="C34" s="175"/>
      <c r="D34" s="176"/>
      <c r="E34" s="177"/>
      <c r="F34" s="76">
        <f t="shared" si="0"/>
        <v>0</v>
      </c>
    </row>
    <row r="35" spans="2:6" ht="15.75" hidden="1" customHeight="1" x14ac:dyDescent="0.2">
      <c r="B35" s="73">
        <v>21</v>
      </c>
      <c r="C35" s="74"/>
      <c r="D35" s="176"/>
      <c r="E35" s="75"/>
      <c r="F35" s="76">
        <f t="shared" si="0"/>
        <v>0</v>
      </c>
    </row>
    <row r="36" spans="2:6" ht="15.75" hidden="1" customHeight="1" x14ac:dyDescent="0.2">
      <c r="B36" s="169">
        <v>22</v>
      </c>
      <c r="C36" s="74"/>
      <c r="D36" s="176"/>
      <c r="E36" s="75"/>
      <c r="F36" s="76">
        <f t="shared" si="0"/>
        <v>0</v>
      </c>
    </row>
    <row r="37" spans="2:6" ht="15.75" hidden="1" customHeight="1" x14ac:dyDescent="0.2">
      <c r="B37" s="73">
        <v>24</v>
      </c>
      <c r="C37" s="175"/>
      <c r="D37" s="75"/>
      <c r="E37" s="75"/>
      <c r="F37" s="76">
        <f t="shared" si="0"/>
        <v>0</v>
      </c>
    </row>
    <row r="38" spans="2:6" ht="15.75" hidden="1" customHeight="1" x14ac:dyDescent="0.2">
      <c r="B38" s="169">
        <v>25</v>
      </c>
      <c r="C38" s="175"/>
      <c r="D38" s="75"/>
      <c r="E38" s="75"/>
      <c r="F38" s="76">
        <f t="shared" si="0"/>
        <v>0</v>
      </c>
    </row>
    <row r="39" spans="2:6" ht="15.75" hidden="1" customHeight="1" x14ac:dyDescent="0.2">
      <c r="B39" s="73">
        <v>26</v>
      </c>
      <c r="C39" s="175"/>
      <c r="D39" s="75"/>
      <c r="E39" s="75"/>
      <c r="F39" s="76">
        <f t="shared" si="0"/>
        <v>0</v>
      </c>
    </row>
    <row r="40" spans="2:6" ht="15.75" hidden="1" customHeight="1" x14ac:dyDescent="0.25">
      <c r="B40" s="73">
        <v>27</v>
      </c>
      <c r="C40" s="74"/>
      <c r="D40" s="75"/>
      <c r="E40" s="179"/>
      <c r="F40" s="76">
        <f t="shared" si="0"/>
        <v>0</v>
      </c>
    </row>
    <row r="41" spans="2:6" ht="15.75" hidden="1" customHeight="1" x14ac:dyDescent="0.25">
      <c r="B41" s="73">
        <v>30</v>
      </c>
      <c r="C41" s="74"/>
      <c r="D41" s="75"/>
      <c r="E41" s="179"/>
      <c r="F41" s="76">
        <f t="shared" si="0"/>
        <v>0</v>
      </c>
    </row>
    <row r="42" spans="2:6" ht="15.75" hidden="1" customHeight="1" x14ac:dyDescent="0.25">
      <c r="B42" s="73">
        <v>31</v>
      </c>
      <c r="C42" s="108"/>
      <c r="D42" s="77"/>
      <c r="E42" s="77"/>
      <c r="F42" s="76">
        <f t="shared" si="0"/>
        <v>0</v>
      </c>
    </row>
    <row r="43" spans="2:6" ht="24.75" hidden="1" customHeight="1" x14ac:dyDescent="0.25">
      <c r="B43" s="73">
        <v>32</v>
      </c>
      <c r="C43" s="108"/>
      <c r="D43" s="77"/>
      <c r="E43" s="77"/>
      <c r="F43" s="76">
        <f t="shared" si="0"/>
        <v>0</v>
      </c>
    </row>
    <row r="44" spans="2:6" ht="15.75" hidden="1" customHeight="1" x14ac:dyDescent="0.25">
      <c r="B44" s="73">
        <v>33</v>
      </c>
      <c r="C44" s="108"/>
      <c r="D44" s="77"/>
      <c r="E44" s="77"/>
      <c r="F44" s="76">
        <f t="shared" si="0"/>
        <v>0</v>
      </c>
    </row>
    <row r="45" spans="2:6" ht="15.75" hidden="1" customHeight="1" x14ac:dyDescent="0.25">
      <c r="B45" s="73">
        <v>34</v>
      </c>
      <c r="C45" s="108"/>
      <c r="D45" s="77"/>
      <c r="E45" s="77"/>
      <c r="F45" s="76">
        <f t="shared" si="0"/>
        <v>0</v>
      </c>
    </row>
    <row r="46" spans="2:6" ht="15.75" hidden="1" customHeight="1" x14ac:dyDescent="0.25">
      <c r="B46" s="73">
        <v>35</v>
      </c>
      <c r="C46" s="108"/>
      <c r="D46" s="77"/>
      <c r="E46" s="77"/>
      <c r="F46" s="76">
        <f t="shared" si="0"/>
        <v>0</v>
      </c>
    </row>
    <row r="47" spans="2:6" ht="15.75" hidden="1" customHeight="1" x14ac:dyDescent="0.25">
      <c r="B47" s="73">
        <v>36</v>
      </c>
      <c r="C47" s="108"/>
      <c r="D47" s="77"/>
      <c r="E47" s="77"/>
      <c r="F47" s="76">
        <f t="shared" si="0"/>
        <v>0</v>
      </c>
    </row>
    <row r="48" spans="2:6" ht="15.75" hidden="1" customHeight="1" x14ac:dyDescent="0.25">
      <c r="B48" s="73">
        <v>37</v>
      </c>
      <c r="C48" s="108"/>
      <c r="D48" s="77"/>
      <c r="E48" s="77"/>
      <c r="F48" s="76">
        <f t="shared" si="0"/>
        <v>0</v>
      </c>
    </row>
    <row r="49" spans="2:9" ht="15.75" hidden="1" customHeight="1" x14ac:dyDescent="0.25">
      <c r="B49" s="73">
        <v>38</v>
      </c>
      <c r="C49" s="108"/>
      <c r="D49" s="77"/>
      <c r="E49" s="77"/>
      <c r="F49" s="76">
        <f t="shared" si="0"/>
        <v>0</v>
      </c>
    </row>
    <row r="50" spans="2:9" ht="15.75" hidden="1" customHeight="1" x14ac:dyDescent="0.25">
      <c r="B50" s="73">
        <v>39</v>
      </c>
      <c r="C50" s="108"/>
      <c r="D50" s="77"/>
      <c r="E50" s="77"/>
      <c r="F50" s="76">
        <f t="shared" si="0"/>
        <v>0</v>
      </c>
    </row>
    <row r="51" spans="2:9" ht="15.75" hidden="1" customHeight="1" x14ac:dyDescent="0.25">
      <c r="B51" s="73">
        <v>40</v>
      </c>
      <c r="C51" s="108"/>
      <c r="D51" s="77"/>
      <c r="E51" s="77"/>
      <c r="F51" s="76">
        <f t="shared" si="0"/>
        <v>0</v>
      </c>
    </row>
    <row r="52" spans="2:9" ht="15.75" hidden="1" customHeight="1" x14ac:dyDescent="0.25">
      <c r="B52" s="73">
        <v>41</v>
      </c>
      <c r="C52" s="108"/>
      <c r="D52" s="77"/>
      <c r="E52" s="77"/>
      <c r="F52" s="76">
        <f t="shared" si="0"/>
        <v>0</v>
      </c>
    </row>
    <row r="53" spans="2:9" ht="15.75" hidden="1" customHeight="1" x14ac:dyDescent="0.25">
      <c r="B53" s="73">
        <v>42</v>
      </c>
      <c r="C53" s="108"/>
      <c r="D53" s="77"/>
      <c r="E53" s="77"/>
      <c r="F53" s="76">
        <f t="shared" si="0"/>
        <v>0</v>
      </c>
    </row>
    <row r="54" spans="2:9" ht="15.75" hidden="1" customHeight="1" x14ac:dyDescent="0.25">
      <c r="B54" s="73">
        <v>43</v>
      </c>
      <c r="C54" s="108"/>
      <c r="D54" s="77"/>
      <c r="E54" s="77"/>
      <c r="F54" s="76">
        <f t="shared" si="0"/>
        <v>0</v>
      </c>
    </row>
    <row r="55" spans="2:9" ht="21" customHeight="1" x14ac:dyDescent="0.25">
      <c r="B55" s="73"/>
      <c r="C55" s="78" t="s">
        <v>130</v>
      </c>
      <c r="D55" s="77"/>
      <c r="E55" s="77"/>
      <c r="F55" s="79">
        <f>SUM(F5:F54)</f>
        <v>53400</v>
      </c>
    </row>
    <row r="56" spans="2:9" ht="21" customHeight="1" x14ac:dyDescent="0.25">
      <c r="B56" s="73"/>
      <c r="C56" s="78" t="s">
        <v>110</v>
      </c>
      <c r="D56" s="77"/>
      <c r="E56" s="76"/>
      <c r="F56" s="181">
        <f>F55/9</f>
        <v>5933.333333333333</v>
      </c>
    </row>
    <row r="58" spans="2:9" x14ac:dyDescent="0.25">
      <c r="B58" s="205"/>
      <c r="C58" s="205"/>
      <c r="D58" s="110"/>
      <c r="E58" s="110"/>
      <c r="F58" s="110"/>
      <c r="G58" s="110"/>
      <c r="H58" s="110"/>
      <c r="I58" s="110"/>
    </row>
    <row r="61" spans="2:9" x14ac:dyDescent="0.25">
      <c r="B61" s="80"/>
    </row>
  </sheetData>
  <mergeCells count="4">
    <mergeCell ref="C1:F1"/>
    <mergeCell ref="C2:F2"/>
    <mergeCell ref="C3:F3"/>
    <mergeCell ref="B58:C5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6"/>
  <sheetViews>
    <sheetView view="pageBreakPreview" zoomScale="60" zoomScaleNormal="75" workbookViewId="0">
      <selection activeCell="C18" sqref="C18"/>
    </sheetView>
  </sheetViews>
  <sheetFormatPr defaultColWidth="8.85546875" defaultRowHeight="18.75" x14ac:dyDescent="0.3"/>
  <cols>
    <col min="1" max="1" width="8.42578125" style="4" customWidth="1"/>
    <col min="2" max="2" width="111.28515625" style="4" customWidth="1"/>
    <col min="3" max="3" width="13.85546875" style="4" customWidth="1"/>
    <col min="4" max="4" width="33.28515625" style="33" customWidth="1"/>
    <col min="5" max="5" width="18.28515625" style="4" customWidth="1"/>
    <col min="6" max="6" width="14.140625" style="4" customWidth="1"/>
    <col min="7" max="7" width="20.85546875" style="4" customWidth="1"/>
    <col min="8" max="8" width="8.85546875" style="5"/>
    <col min="9" max="16384" width="8.85546875" style="4"/>
  </cols>
  <sheetData>
    <row r="1" spans="1:8" x14ac:dyDescent="0.3">
      <c r="F1" s="32"/>
      <c r="G1" s="34" t="s">
        <v>80</v>
      </c>
    </row>
    <row r="2" spans="1:8" x14ac:dyDescent="0.3">
      <c r="D2" s="4"/>
      <c r="E2" s="35"/>
      <c r="F2" s="35"/>
      <c r="G2" s="34" t="s">
        <v>146</v>
      </c>
      <c r="H2" s="36"/>
    </row>
    <row r="3" spans="1:8" x14ac:dyDescent="0.3">
      <c r="D3" s="4"/>
      <c r="E3" s="35"/>
      <c r="F3" s="35"/>
      <c r="G3" s="34" t="s">
        <v>147</v>
      </c>
      <c r="H3" s="36"/>
    </row>
    <row r="4" spans="1:8" ht="75" customHeight="1" x14ac:dyDescent="0.3">
      <c r="B4" s="206" t="s">
        <v>39</v>
      </c>
      <c r="C4" s="207"/>
      <c r="D4" s="4"/>
      <c r="E4" s="35"/>
      <c r="F4" s="208" t="s">
        <v>180</v>
      </c>
      <c r="G4" s="208"/>
      <c r="H4" s="36"/>
    </row>
    <row r="5" spans="1:8" x14ac:dyDescent="0.3">
      <c r="B5" s="208" t="s">
        <v>91</v>
      </c>
      <c r="C5" s="208"/>
      <c r="D5" s="4"/>
      <c r="E5" s="35"/>
      <c r="F5" s="35"/>
      <c r="G5" s="35"/>
      <c r="H5" s="36"/>
    </row>
    <row r="6" spans="1:8" x14ac:dyDescent="0.3">
      <c r="B6" s="206" t="str">
        <f>Калькуляция!C9</f>
        <v>"От звука-к слову"</v>
      </c>
      <c r="C6" s="206"/>
      <c r="D6" s="4"/>
      <c r="E6" s="35"/>
      <c r="F6" s="35"/>
      <c r="G6" s="35"/>
      <c r="H6" s="36"/>
    </row>
    <row r="7" spans="1:8" ht="38.25" customHeight="1" x14ac:dyDescent="0.3">
      <c r="B7" s="209" t="s">
        <v>175</v>
      </c>
      <c r="C7" s="209"/>
      <c r="D7" s="4"/>
      <c r="E7" s="35"/>
      <c r="F7" s="35"/>
      <c r="G7" s="35"/>
      <c r="H7" s="36"/>
    </row>
    <row r="8" spans="1:8" x14ac:dyDescent="0.3">
      <c r="B8" s="208" t="s">
        <v>179</v>
      </c>
      <c r="C8" s="208"/>
      <c r="D8" s="4"/>
      <c r="E8" s="35"/>
      <c r="F8" s="35"/>
      <c r="G8" s="35"/>
      <c r="H8" s="36"/>
    </row>
    <row r="9" spans="1:8" x14ac:dyDescent="0.3">
      <c r="B9" s="208"/>
      <c r="C9" s="208"/>
      <c r="D9" s="4"/>
      <c r="E9" s="35"/>
      <c r="F9" s="35"/>
      <c r="G9" s="35"/>
      <c r="H9" s="36"/>
    </row>
    <row r="10" spans="1:8" x14ac:dyDescent="0.3">
      <c r="A10" s="7"/>
      <c r="B10" s="208" t="s">
        <v>149</v>
      </c>
      <c r="C10" s="208"/>
      <c r="D10" s="36"/>
      <c r="E10" s="36"/>
      <c r="F10" s="36"/>
      <c r="G10" s="36"/>
      <c r="H10" s="36"/>
    </row>
    <row r="11" spans="1:8" x14ac:dyDescent="0.3">
      <c r="A11" s="7"/>
      <c r="B11" s="36"/>
      <c r="C11" s="36"/>
      <c r="D11" s="36"/>
      <c r="E11" s="36"/>
      <c r="F11" s="36"/>
      <c r="G11" s="36"/>
      <c r="H11" s="36"/>
    </row>
    <row r="12" spans="1:8" x14ac:dyDescent="0.3">
      <c r="A12" s="214"/>
      <c r="B12" s="214"/>
      <c r="D12" s="4"/>
      <c r="G12" s="37" t="s">
        <v>96</v>
      </c>
      <c r="H12" s="4"/>
    </row>
    <row r="13" spans="1:8" ht="38.25" customHeight="1" x14ac:dyDescent="0.3">
      <c r="A13" s="215" t="s">
        <v>40</v>
      </c>
      <c r="B13" s="215" t="s">
        <v>41</v>
      </c>
      <c r="C13" s="215" t="s">
        <v>92</v>
      </c>
      <c r="D13" s="216" t="s">
        <v>42</v>
      </c>
      <c r="E13" s="210" t="s">
        <v>95</v>
      </c>
      <c r="F13" s="211"/>
      <c r="G13" s="212"/>
      <c r="H13" s="3"/>
    </row>
    <row r="14" spans="1:8" ht="54.75" customHeight="1" x14ac:dyDescent="0.3">
      <c r="A14" s="215"/>
      <c r="B14" s="215"/>
      <c r="C14" s="215"/>
      <c r="D14" s="216"/>
      <c r="E14" s="182" t="s">
        <v>181</v>
      </c>
      <c r="F14" s="23" t="s">
        <v>43</v>
      </c>
      <c r="G14" s="182" t="s">
        <v>181</v>
      </c>
    </row>
    <row r="15" spans="1:8" s="7" customFormat="1" x14ac:dyDescent="0.3">
      <c r="A15" s="23">
        <v>1</v>
      </c>
      <c r="B15" s="23">
        <v>2</v>
      </c>
      <c r="C15" s="23">
        <v>3</v>
      </c>
      <c r="D15" s="24">
        <v>4</v>
      </c>
      <c r="E15" s="23">
        <v>5</v>
      </c>
      <c r="F15" s="23">
        <v>6</v>
      </c>
      <c r="G15" s="23">
        <v>7</v>
      </c>
      <c r="H15" s="6"/>
    </row>
    <row r="16" spans="1:8" ht="33" customHeight="1" x14ac:dyDescent="0.3">
      <c r="A16" s="38" t="s">
        <v>44</v>
      </c>
      <c r="B16" s="8" t="s">
        <v>45</v>
      </c>
      <c r="C16" s="23" t="s">
        <v>46</v>
      </c>
      <c r="D16" s="9"/>
      <c r="E16" s="10"/>
      <c r="F16" s="10"/>
      <c r="G16" s="10"/>
    </row>
    <row r="17" spans="1:8" s="16" customFormat="1" ht="40.5" customHeight="1" x14ac:dyDescent="0.3">
      <c r="A17" s="39" t="s">
        <v>47</v>
      </c>
      <c r="B17" s="11" t="s">
        <v>48</v>
      </c>
      <c r="C17" s="12" t="s">
        <v>46</v>
      </c>
      <c r="D17" s="13"/>
      <c r="E17" s="14">
        <f>E18</f>
        <v>484.44485666403358</v>
      </c>
      <c r="F17" s="14"/>
      <c r="G17" s="14">
        <f>E17+F17</f>
        <v>484.44485666403358</v>
      </c>
      <c r="H17" s="15"/>
    </row>
    <row r="18" spans="1:8" s="5" customFormat="1" ht="33.75" customHeight="1" x14ac:dyDescent="0.3">
      <c r="A18" s="38" t="s">
        <v>49</v>
      </c>
      <c r="B18" s="8" t="s">
        <v>50</v>
      </c>
      <c r="C18" s="23">
        <v>130</v>
      </c>
      <c r="D18" s="9"/>
      <c r="E18" s="10">
        <f>E19</f>
        <v>484.44485666403358</v>
      </c>
      <c r="F18" s="14"/>
      <c r="G18" s="10">
        <f t="shared" ref="G18:G24" si="0">E18+F18</f>
        <v>484.44485666403358</v>
      </c>
    </row>
    <row r="19" spans="1:8" ht="39.75" customHeight="1" x14ac:dyDescent="0.3">
      <c r="A19" s="38"/>
      <c r="B19" s="8" t="s">
        <v>170</v>
      </c>
      <c r="C19" s="23">
        <v>130</v>
      </c>
      <c r="D19" s="9" t="s">
        <v>93</v>
      </c>
      <c r="E19" s="17">
        <f>E22+E23+E24</f>
        <v>484.44485666403358</v>
      </c>
      <c r="F19" s="10"/>
      <c r="G19" s="10">
        <f t="shared" si="0"/>
        <v>484.44485666403358</v>
      </c>
    </row>
    <row r="20" spans="1:8" ht="11.25" customHeight="1" x14ac:dyDescent="0.3">
      <c r="A20" s="38"/>
      <c r="B20" s="8"/>
      <c r="C20" s="23"/>
      <c r="D20" s="9"/>
      <c r="E20" s="17"/>
      <c r="F20" s="10"/>
      <c r="G20" s="14"/>
    </row>
    <row r="21" spans="1:8" s="16" customFormat="1" ht="33.75" customHeight="1" x14ac:dyDescent="0.3">
      <c r="A21" s="39" t="s">
        <v>13</v>
      </c>
      <c r="B21" s="11" t="s">
        <v>51</v>
      </c>
      <c r="C21" s="12" t="s">
        <v>52</v>
      </c>
      <c r="D21" s="9"/>
      <c r="E21" s="18">
        <f>E22+E23+E24</f>
        <v>484.44485666403358</v>
      </c>
      <c r="F21" s="14"/>
      <c r="G21" s="14">
        <f t="shared" si="0"/>
        <v>484.44485666403358</v>
      </c>
      <c r="H21" s="15"/>
    </row>
    <row r="22" spans="1:8" ht="30" customHeight="1" x14ac:dyDescent="0.3">
      <c r="A22" s="38" t="s">
        <v>53</v>
      </c>
      <c r="B22" s="8" t="s">
        <v>94</v>
      </c>
      <c r="C22" s="23">
        <v>244</v>
      </c>
      <c r="D22" s="9" t="s">
        <v>93</v>
      </c>
      <c r="E22" s="17">
        <f>Калькуляция!D63*9/1000</f>
        <v>2.0699712000000003</v>
      </c>
      <c r="F22" s="18"/>
      <c r="G22" s="10">
        <f t="shared" si="0"/>
        <v>2.0699712000000003</v>
      </c>
    </row>
    <row r="23" spans="1:8" ht="46.5" customHeight="1" x14ac:dyDescent="0.3">
      <c r="A23" s="38" t="s">
        <v>54</v>
      </c>
      <c r="B23" s="8" t="s">
        <v>55</v>
      </c>
      <c r="C23" s="23">
        <v>244</v>
      </c>
      <c r="D23" s="9" t="s">
        <v>93</v>
      </c>
      <c r="E23" s="17">
        <f>(Калькуляция!D36+Калькуляция!D44+Калькуляция!D50+Калькуляция!D57)*Калькуляция!D15/1000</f>
        <v>406.4748854640336</v>
      </c>
      <c r="F23" s="10"/>
      <c r="G23" s="10">
        <f t="shared" si="0"/>
        <v>406.4748854640336</v>
      </c>
    </row>
    <row r="24" spans="1:8" ht="38.25" customHeight="1" x14ac:dyDescent="0.3">
      <c r="A24" s="38" t="s">
        <v>56</v>
      </c>
      <c r="B24" s="8" t="s">
        <v>57</v>
      </c>
      <c r="C24" s="23">
        <v>244</v>
      </c>
      <c r="D24" s="9" t="s">
        <v>93</v>
      </c>
      <c r="E24" s="17">
        <f>(Калькуляция!D65+Калькуляция!D69+Калькуляция!D71)*Калькуляция!D15/1000</f>
        <v>75.899999999999991</v>
      </c>
      <c r="F24" s="10"/>
      <c r="G24" s="10">
        <f t="shared" si="0"/>
        <v>75.899999999999991</v>
      </c>
    </row>
    <row r="25" spans="1:8" ht="33.75" customHeight="1" x14ac:dyDescent="0.3">
      <c r="D25" s="4"/>
    </row>
    <row r="26" spans="1:8" ht="41.25" customHeight="1" x14ac:dyDescent="0.3">
      <c r="B26" s="40"/>
      <c r="D26" s="4"/>
    </row>
    <row r="27" spans="1:8" ht="40.5" customHeight="1" x14ac:dyDescent="0.3">
      <c r="B27" s="217"/>
      <c r="C27" s="217"/>
      <c r="D27" s="217"/>
      <c r="E27" s="217"/>
      <c r="F27" s="217"/>
    </row>
    <row r="28" spans="1:8" ht="22.9" customHeight="1" x14ac:dyDescent="0.3">
      <c r="B28" s="213"/>
      <c r="C28" s="213"/>
      <c r="D28" s="213"/>
      <c r="E28" s="213"/>
    </row>
    <row r="29" spans="1:8" ht="21.6" customHeight="1" x14ac:dyDescent="0.3"/>
    <row r="30" spans="1:8" ht="21.6" customHeight="1" x14ac:dyDescent="0.3"/>
    <row r="31" spans="1:8" ht="21.6" customHeight="1" x14ac:dyDescent="0.3"/>
    <row r="32" spans="1:8" ht="21.6" customHeight="1" x14ac:dyDescent="0.3"/>
    <row r="33" ht="24" customHeight="1" x14ac:dyDescent="0.3"/>
    <row r="34" ht="40.9" customHeight="1" x14ac:dyDescent="0.3"/>
    <row r="35" ht="19.899999999999999" customHeight="1" x14ac:dyDescent="0.3"/>
    <row r="36" ht="19.899999999999999" customHeight="1" x14ac:dyDescent="0.3"/>
  </sheetData>
  <mergeCells count="16">
    <mergeCell ref="B28:E28"/>
    <mergeCell ref="B10:C10"/>
    <mergeCell ref="A12:B12"/>
    <mergeCell ref="A13:A14"/>
    <mergeCell ref="B13:B14"/>
    <mergeCell ref="C13:C14"/>
    <mergeCell ref="D13:D14"/>
    <mergeCell ref="B27:F27"/>
    <mergeCell ref="B4:C4"/>
    <mergeCell ref="B5:C5"/>
    <mergeCell ref="B8:C8"/>
    <mergeCell ref="B7:C7"/>
    <mergeCell ref="E13:G13"/>
    <mergeCell ref="B9:C9"/>
    <mergeCell ref="B6:C6"/>
    <mergeCell ref="F4:G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36"/>
  <sheetViews>
    <sheetView view="pageBreakPreview" zoomScale="80" zoomScaleNormal="75" zoomScaleSheetLayoutView="80" workbookViewId="0">
      <selection activeCell="E13" sqref="E13"/>
    </sheetView>
  </sheetViews>
  <sheetFormatPr defaultRowHeight="15.75" x14ac:dyDescent="0.25"/>
  <cols>
    <col min="1" max="1" width="5" style="44" customWidth="1"/>
    <col min="2" max="2" width="33" style="44" customWidth="1"/>
    <col min="3" max="3" width="13.28515625" style="44" customWidth="1"/>
    <col min="4" max="4" width="19.85546875" style="44" customWidth="1"/>
    <col min="5" max="5" width="19.7109375" style="44" customWidth="1"/>
    <col min="6" max="6" width="21" style="44" customWidth="1"/>
    <col min="7" max="7" width="14" style="44" hidden="1" customWidth="1"/>
    <col min="8" max="8" width="14.7109375" style="44" customWidth="1"/>
    <col min="9" max="9" width="21" style="44" customWidth="1"/>
    <col min="10" max="10" width="21.42578125" style="44" customWidth="1"/>
    <col min="11" max="11" width="12.5703125" style="69" customWidth="1"/>
    <col min="12" max="12" width="14.85546875" style="44" customWidth="1"/>
    <col min="13" max="13" width="17.42578125" style="44" customWidth="1"/>
    <col min="14" max="14" width="17.140625" style="44" customWidth="1"/>
    <col min="15" max="15" width="19.7109375" style="44" customWidth="1"/>
    <col min="16" max="16" width="22.5703125" style="44" customWidth="1"/>
    <col min="17" max="17" width="19.7109375" style="44" customWidth="1"/>
    <col min="18" max="16384" width="9.140625" style="44"/>
  </cols>
  <sheetData>
    <row r="1" spans="1:13" ht="41.25" customHeight="1" x14ac:dyDescent="0.3">
      <c r="A1" s="231" t="s">
        <v>174</v>
      </c>
      <c r="B1" s="231"/>
      <c r="C1" s="231"/>
      <c r="D1" s="231"/>
      <c r="E1" s="231"/>
      <c r="F1" s="231"/>
      <c r="G1" s="231"/>
      <c r="H1" s="231"/>
      <c r="I1" s="231"/>
      <c r="J1" s="228"/>
      <c r="K1" s="228"/>
      <c r="L1" s="104"/>
    </row>
    <row r="2" spans="1:13" ht="15.75" customHeight="1" x14ac:dyDescent="0.25">
      <c r="A2" s="232" t="s">
        <v>60</v>
      </c>
      <c r="B2" s="232"/>
      <c r="C2" s="232"/>
      <c r="D2" s="232"/>
      <c r="E2" s="232"/>
      <c r="F2" s="232"/>
      <c r="G2" s="232"/>
      <c r="H2" s="232"/>
      <c r="I2" s="232"/>
      <c r="J2" s="229" t="s">
        <v>58</v>
      </c>
      <c r="K2" s="229"/>
      <c r="L2" s="105"/>
    </row>
    <row r="3" spans="1:13" ht="16.5" thickBot="1" x14ac:dyDescent="0.3">
      <c r="A3" s="122"/>
      <c r="B3" s="122"/>
      <c r="C3" s="122"/>
      <c r="D3" s="122"/>
      <c r="E3" s="122"/>
      <c r="F3" s="122"/>
      <c r="G3" s="122"/>
      <c r="H3" s="122"/>
      <c r="I3" s="122"/>
      <c r="J3" s="43"/>
      <c r="K3" s="47" t="s">
        <v>59</v>
      </c>
      <c r="L3" s="43"/>
    </row>
    <row r="4" spans="1:13" ht="16.5" customHeight="1" x14ac:dyDescent="0.25">
      <c r="A4" s="222" t="s">
        <v>132</v>
      </c>
      <c r="B4" s="222"/>
      <c r="C4" s="222"/>
      <c r="D4" s="222"/>
      <c r="E4" s="225" t="str">
        <f>Калькуляция!C9</f>
        <v>"От звука-к слову"</v>
      </c>
      <c r="F4" s="225"/>
      <c r="G4" s="109"/>
      <c r="H4" s="109"/>
      <c r="I4" s="109"/>
      <c r="J4" s="43"/>
      <c r="K4" s="48">
        <v>301017</v>
      </c>
    </row>
    <row r="5" spans="1:13" ht="16.5" thickBot="1" x14ac:dyDescent="0.3">
      <c r="A5" s="43"/>
      <c r="B5" s="43"/>
      <c r="C5" s="43"/>
      <c r="D5" s="43"/>
      <c r="E5" s="43"/>
      <c r="F5" s="43"/>
      <c r="G5" s="43"/>
      <c r="H5" s="43"/>
      <c r="I5" s="43"/>
      <c r="J5" s="43"/>
      <c r="K5" s="50">
        <v>27602980</v>
      </c>
    </row>
    <row r="6" spans="1:13" x14ac:dyDescent="0.25">
      <c r="A6" s="43"/>
      <c r="B6" s="43"/>
      <c r="C6" s="43"/>
      <c r="D6" s="233" t="s">
        <v>61</v>
      </c>
      <c r="E6" s="234"/>
      <c r="F6" s="235" t="s">
        <v>62</v>
      </c>
      <c r="G6" s="236"/>
      <c r="H6" s="237"/>
      <c r="J6" s="49"/>
      <c r="K6" s="46"/>
    </row>
    <row r="7" spans="1:13" ht="26.25" customHeight="1" thickBot="1" x14ac:dyDescent="0.3">
      <c r="A7" s="43"/>
      <c r="B7" s="53" t="s">
        <v>64</v>
      </c>
      <c r="C7" s="43"/>
      <c r="D7" s="238">
        <v>1</v>
      </c>
      <c r="E7" s="239"/>
      <c r="F7" s="240">
        <v>45874</v>
      </c>
      <c r="G7" s="241"/>
      <c r="H7" s="242"/>
      <c r="J7" s="106"/>
      <c r="K7" s="90" t="s">
        <v>63</v>
      </c>
      <c r="L7" s="51"/>
    </row>
    <row r="8" spans="1:13" x14ac:dyDescent="0.25">
      <c r="J8" s="106"/>
      <c r="K8" s="89" t="s">
        <v>65</v>
      </c>
      <c r="L8" s="51"/>
    </row>
    <row r="9" spans="1:13" x14ac:dyDescent="0.25">
      <c r="B9" s="56" t="s">
        <v>67</v>
      </c>
      <c r="C9" s="57" t="s">
        <v>182</v>
      </c>
      <c r="E9" s="43"/>
      <c r="J9" s="107"/>
      <c r="K9" s="90" t="s">
        <v>183</v>
      </c>
      <c r="L9" s="51"/>
    </row>
    <row r="10" spans="1:13" x14ac:dyDescent="0.25">
      <c r="J10" s="106"/>
      <c r="K10" s="52"/>
      <c r="L10" s="43"/>
    </row>
    <row r="11" spans="1:13" x14ac:dyDescent="0.25">
      <c r="I11" s="88" t="s">
        <v>66</v>
      </c>
      <c r="J11" s="41">
        <f>C28</f>
        <v>3</v>
      </c>
      <c r="K11" s="43" t="s">
        <v>151</v>
      </c>
      <c r="L11" s="106"/>
    </row>
    <row r="12" spans="1:13" ht="19.5" customHeight="1" x14ac:dyDescent="0.25">
      <c r="I12" s="230" t="s">
        <v>142</v>
      </c>
      <c r="J12" s="230"/>
      <c r="K12" s="230"/>
      <c r="L12" s="106"/>
      <c r="M12" s="111">
        <f>Калькуляция!H56</f>
        <v>45163.876162670393</v>
      </c>
    </row>
    <row r="13" spans="1:13" ht="19.5" customHeight="1" x14ac:dyDescent="0.25">
      <c r="I13" s="170"/>
      <c r="J13" s="243">
        <f>K31</f>
        <v>45163.876162670385</v>
      </c>
      <c r="K13" s="230"/>
      <c r="L13" s="106"/>
      <c r="M13" s="111"/>
    </row>
    <row r="14" spans="1:13" ht="42" customHeight="1" x14ac:dyDescent="0.25">
      <c r="A14" s="43"/>
      <c r="B14" s="53"/>
      <c r="C14" s="43"/>
      <c r="D14" s="54"/>
      <c r="E14" s="54"/>
      <c r="F14" s="55"/>
      <c r="G14" s="55"/>
      <c r="H14" s="55"/>
      <c r="I14" s="228" t="s">
        <v>150</v>
      </c>
      <c r="J14" s="228"/>
      <c r="K14" s="228"/>
      <c r="L14" s="107"/>
    </row>
    <row r="15" spans="1:13" x14ac:dyDescent="0.25">
      <c r="A15" s="43"/>
      <c r="F15" s="43"/>
      <c r="G15" s="43"/>
      <c r="H15" s="43"/>
      <c r="L15" s="106"/>
    </row>
    <row r="16" spans="1:13" ht="15.75" customHeight="1" x14ac:dyDescent="0.25">
      <c r="A16" s="224" t="s">
        <v>1</v>
      </c>
      <c r="B16" s="224" t="s">
        <v>68</v>
      </c>
      <c r="C16" s="224" t="s">
        <v>69</v>
      </c>
      <c r="D16" s="224" t="s">
        <v>102</v>
      </c>
      <c r="E16" s="224" t="s">
        <v>70</v>
      </c>
      <c r="F16" s="218" t="s">
        <v>71</v>
      </c>
      <c r="G16" s="218"/>
      <c r="H16" s="218"/>
      <c r="I16" s="218" t="s">
        <v>72</v>
      </c>
      <c r="J16" s="218"/>
      <c r="K16" s="219" t="s">
        <v>129</v>
      </c>
    </row>
    <row r="17" spans="1:17" ht="47.25" x14ac:dyDescent="0.25">
      <c r="A17" s="224"/>
      <c r="B17" s="224"/>
      <c r="C17" s="224"/>
      <c r="D17" s="224"/>
      <c r="E17" s="224"/>
      <c r="F17" s="121" t="s">
        <v>125</v>
      </c>
      <c r="G17" s="121" t="s">
        <v>79</v>
      </c>
      <c r="H17" s="121" t="s">
        <v>73</v>
      </c>
      <c r="I17" s="121" t="s">
        <v>100</v>
      </c>
      <c r="J17" s="121" t="s">
        <v>101</v>
      </c>
      <c r="K17" s="220"/>
    </row>
    <row r="18" spans="1:17" x14ac:dyDescent="0.25">
      <c r="A18" s="58">
        <v>1</v>
      </c>
      <c r="B18" s="58">
        <v>2</v>
      </c>
      <c r="C18" s="58">
        <v>3</v>
      </c>
      <c r="D18" s="58">
        <v>4</v>
      </c>
      <c r="E18" s="58">
        <v>5</v>
      </c>
      <c r="F18" s="58">
        <v>6</v>
      </c>
      <c r="G18" s="58">
        <v>7</v>
      </c>
      <c r="H18" s="58">
        <v>7</v>
      </c>
      <c r="I18" s="58">
        <v>8</v>
      </c>
      <c r="J18" s="58">
        <v>9</v>
      </c>
      <c r="K18" s="58">
        <v>10</v>
      </c>
    </row>
    <row r="19" spans="1:17" x14ac:dyDescent="0.25">
      <c r="A19" s="227" t="s">
        <v>74</v>
      </c>
      <c r="B19" s="227"/>
      <c r="C19" s="227"/>
      <c r="D19" s="59"/>
      <c r="E19" s="123"/>
      <c r="F19" s="123"/>
      <c r="G19" s="123"/>
      <c r="H19" s="123"/>
      <c r="I19" s="123"/>
      <c r="J19" s="21"/>
      <c r="K19" s="60"/>
    </row>
    <row r="20" spans="1:17" ht="31.5" x14ac:dyDescent="0.25">
      <c r="A20" s="61">
        <v>1</v>
      </c>
      <c r="B20" s="20" t="s">
        <v>98</v>
      </c>
      <c r="C20" s="92">
        <v>1</v>
      </c>
      <c r="D20" s="21">
        <f>Калькуляция!D49</f>
        <v>421.62155552184475</v>
      </c>
      <c r="E20" s="21">
        <f>C20*D20</f>
        <v>421.62155552184475</v>
      </c>
      <c r="F20" s="21">
        <f>Калькуляция!D32</f>
        <v>24</v>
      </c>
      <c r="G20" s="21"/>
      <c r="H20" s="21"/>
      <c r="I20" s="19">
        <f>(E20*F20)*0.6</f>
        <v>6071.3503995145638</v>
      </c>
      <c r="J20" s="19">
        <f>E20*F20*0.5</f>
        <v>5059.4586662621368</v>
      </c>
      <c r="K20" s="62">
        <f>I20+J20</f>
        <v>11130.809065776701</v>
      </c>
    </row>
    <row r="21" spans="1:17" x14ac:dyDescent="0.25">
      <c r="A21" s="123"/>
      <c r="B21" s="123" t="s">
        <v>75</v>
      </c>
      <c r="C21" s="64">
        <f>SUM(C20:C20)</f>
        <v>1</v>
      </c>
      <c r="D21" s="63">
        <f>SUM(D20:D20)</f>
        <v>421.62155552184475</v>
      </c>
      <c r="E21" s="63">
        <f>SUM(E20:E20)</f>
        <v>421.62155552184475</v>
      </c>
      <c r="F21" s="63">
        <f>SUM(F20:F20)</f>
        <v>24</v>
      </c>
      <c r="G21" s="63">
        <f t="shared" ref="G21:H21" si="0">SUM(G20:G20)</f>
        <v>0</v>
      </c>
      <c r="H21" s="63">
        <f t="shared" si="0"/>
        <v>0</v>
      </c>
      <c r="I21" s="63">
        <f>SUM(I20:I20)</f>
        <v>6071.3503995145638</v>
      </c>
      <c r="J21" s="63">
        <f>SUM(J20:J20)</f>
        <v>5059.4586662621368</v>
      </c>
      <c r="K21" s="63">
        <f>SUM(K20:K20)</f>
        <v>11130.809065776701</v>
      </c>
    </row>
    <row r="22" spans="1:17" x14ac:dyDescent="0.25">
      <c r="A22" s="227" t="s">
        <v>76</v>
      </c>
      <c r="B22" s="227"/>
      <c r="C22" s="227"/>
      <c r="D22" s="59"/>
      <c r="E22" s="123"/>
      <c r="F22" s="91"/>
      <c r="G22" s="123"/>
      <c r="H22" s="123"/>
      <c r="I22" s="123"/>
      <c r="J22" s="21"/>
      <c r="K22" s="60"/>
    </row>
    <row r="23" spans="1:17" ht="31.5" x14ac:dyDescent="0.25">
      <c r="A23" s="61">
        <v>2</v>
      </c>
      <c r="B23" s="20" t="s">
        <v>99</v>
      </c>
      <c r="C23" s="92">
        <f>Калькуляция!D35</f>
        <v>1</v>
      </c>
      <c r="D23" s="21">
        <f>Калькуляция!D30</f>
        <v>3497.4863636363639</v>
      </c>
      <c r="E23" s="21">
        <f>D23*C23</f>
        <v>3497.4863636363639</v>
      </c>
      <c r="F23" s="19">
        <f>Калькуляция!D33</f>
        <v>6</v>
      </c>
      <c r="G23" s="19"/>
      <c r="H23" s="19"/>
      <c r="I23" s="19">
        <f>(E23*F23)*0.6</f>
        <v>12590.950909090909</v>
      </c>
      <c r="J23" s="19">
        <f>E23*F23*0.5</f>
        <v>10492.459090909091</v>
      </c>
      <c r="K23" s="62">
        <f>I23+J23</f>
        <v>23083.41</v>
      </c>
    </row>
    <row r="24" spans="1:17" x14ac:dyDescent="0.25">
      <c r="A24" s="123"/>
      <c r="B24" s="123" t="s">
        <v>75</v>
      </c>
      <c r="C24" s="64">
        <f>SUM(C23)</f>
        <v>1</v>
      </c>
      <c r="D24" s="63">
        <f>SUM(D23)</f>
        <v>3497.4863636363639</v>
      </c>
      <c r="E24" s="63">
        <f>SUM(E23)</f>
        <v>3497.4863636363639</v>
      </c>
      <c r="F24" s="63">
        <f>SUM(F23)</f>
        <v>6</v>
      </c>
      <c r="G24" s="63">
        <f t="shared" ref="G24:H24" si="1">SUM(G23)</f>
        <v>0</v>
      </c>
      <c r="H24" s="63">
        <f t="shared" si="1"/>
        <v>0</v>
      </c>
      <c r="I24" s="63">
        <f>SUM(I23)</f>
        <v>12590.950909090909</v>
      </c>
      <c r="J24" s="63">
        <f>SUM(J23)</f>
        <v>10492.459090909091</v>
      </c>
      <c r="K24" s="63">
        <f>SUM(K23)</f>
        <v>23083.41</v>
      </c>
    </row>
    <row r="25" spans="1:17" x14ac:dyDescent="0.25">
      <c r="A25" s="227" t="s">
        <v>77</v>
      </c>
      <c r="B25" s="227"/>
      <c r="C25" s="227"/>
      <c r="D25" s="59"/>
      <c r="E25" s="59"/>
      <c r="F25" s="91"/>
      <c r="G25" s="123"/>
      <c r="H25" s="123"/>
      <c r="I25" s="65"/>
      <c r="J25" s="21"/>
      <c r="K25" s="21"/>
    </row>
    <row r="26" spans="1:17" ht="31.5" x14ac:dyDescent="0.25">
      <c r="A26" s="61">
        <v>3</v>
      </c>
      <c r="B26" s="20" t="s">
        <v>78</v>
      </c>
      <c r="C26" s="92">
        <v>1</v>
      </c>
      <c r="D26" s="21">
        <f>Калькуляция!D42</f>
        <v>3.9887025595763457</v>
      </c>
      <c r="E26" s="21">
        <f>D26*C26</f>
        <v>3.9887025595763457</v>
      </c>
      <c r="F26" s="21">
        <f>Калькуляция!D32</f>
        <v>24</v>
      </c>
      <c r="G26" s="21"/>
      <c r="H26" s="21">
        <f>Калькуляция!D43</f>
        <v>4.5</v>
      </c>
      <c r="I26" s="19">
        <f>(E26*H26*F26)*0.6</f>
        <v>258.46792586054715</v>
      </c>
      <c r="J26" s="19">
        <f>(E26*H26*F26)*0.5</f>
        <v>215.38993821712265</v>
      </c>
      <c r="K26" s="62">
        <f>I26+J26</f>
        <v>473.85786407766977</v>
      </c>
    </row>
    <row r="27" spans="1:17" x14ac:dyDescent="0.25">
      <c r="A27" s="123"/>
      <c r="B27" s="123" t="s">
        <v>75</v>
      </c>
      <c r="C27" s="64">
        <f>SUM(C26:C26)</f>
        <v>1</v>
      </c>
      <c r="D27" s="63">
        <f>SUM(D26:D26)</f>
        <v>3.9887025595763457</v>
      </c>
      <c r="E27" s="63">
        <f>SUM(E26:E26)</f>
        <v>3.9887025595763457</v>
      </c>
      <c r="F27" s="63">
        <f>SUM(F26:F26)</f>
        <v>24</v>
      </c>
      <c r="G27" s="63">
        <f>SUM(H26:H26)</f>
        <v>4.5</v>
      </c>
      <c r="H27" s="63"/>
      <c r="I27" s="63">
        <f>SUM(I26:I26)</f>
        <v>258.46792586054715</v>
      </c>
      <c r="J27" s="63">
        <f>SUM(J26:J26)</f>
        <v>215.38993821712265</v>
      </c>
      <c r="K27" s="63">
        <f>SUM(K26:K26)</f>
        <v>473.85786407766977</v>
      </c>
    </row>
    <row r="28" spans="1:17" x14ac:dyDescent="0.25">
      <c r="A28" s="43"/>
      <c r="B28" s="97" t="s">
        <v>97</v>
      </c>
      <c r="C28" s="98">
        <f>C21+C24+C27</f>
        <v>3</v>
      </c>
      <c r="D28" s="98">
        <f>D21+D24+D27</f>
        <v>3923.0966217177847</v>
      </c>
      <c r="E28" s="98">
        <f>E21+E24+E27</f>
        <v>3923.0966217177847</v>
      </c>
      <c r="F28" s="98">
        <f>F21+F24+F27</f>
        <v>54</v>
      </c>
      <c r="G28" s="98">
        <f t="shared" ref="G28:H28" si="2">G21+G24+G27</f>
        <v>4.5</v>
      </c>
      <c r="H28" s="98">
        <f t="shared" si="2"/>
        <v>0</v>
      </c>
      <c r="I28" s="98">
        <f>I21+I24+I27</f>
        <v>18920.769234466017</v>
      </c>
      <c r="J28" s="98">
        <f>J21+J24+J27</f>
        <v>15767.30769538835</v>
      </c>
      <c r="K28" s="98">
        <f>K21+K24+K27</f>
        <v>34688.076929854367</v>
      </c>
      <c r="L28" s="22"/>
      <c r="M28" s="22"/>
      <c r="N28" s="22"/>
      <c r="O28" s="22"/>
      <c r="P28" s="22"/>
      <c r="Q28" s="22"/>
    </row>
    <row r="29" spans="1:17" s="96" customFormat="1" ht="20.25" customHeight="1" x14ac:dyDescent="0.25">
      <c r="A29" s="52"/>
      <c r="C29" s="99"/>
      <c r="D29" s="99"/>
      <c r="E29" s="99"/>
      <c r="F29" s="99"/>
      <c r="G29" s="99"/>
      <c r="H29" s="99"/>
      <c r="J29" s="93" t="s">
        <v>127</v>
      </c>
      <c r="K29" s="102">
        <f>K21+K24+K27</f>
        <v>34688.076929854367</v>
      </c>
      <c r="L29" s="94"/>
      <c r="M29" s="94"/>
      <c r="N29" s="94"/>
      <c r="O29" s="94"/>
      <c r="P29" s="94"/>
      <c r="Q29" s="95"/>
    </row>
    <row r="30" spans="1:17" ht="20.25" customHeight="1" x14ac:dyDescent="0.25">
      <c r="A30" s="51"/>
      <c r="C30" s="120"/>
      <c r="D30" s="100"/>
      <c r="E30" s="100"/>
      <c r="F30" s="101"/>
      <c r="G30" s="223"/>
      <c r="H30" s="223"/>
      <c r="J30" s="93" t="s">
        <v>126</v>
      </c>
      <c r="K30" s="102">
        <f>K29*0.302</f>
        <v>10475.799232816018</v>
      </c>
      <c r="L30" s="51"/>
    </row>
    <row r="31" spans="1:17" ht="20.25" customHeight="1" x14ac:dyDescent="0.25">
      <c r="A31" s="43"/>
      <c r="B31" s="66"/>
      <c r="C31" s="221"/>
      <c r="D31" s="221"/>
      <c r="E31" s="221"/>
      <c r="F31" s="49"/>
      <c r="G31" s="221"/>
      <c r="H31" s="221"/>
      <c r="I31" s="45"/>
      <c r="J31" s="93" t="s">
        <v>128</v>
      </c>
      <c r="K31" s="103">
        <f>K29+K30</f>
        <v>45163.876162670385</v>
      </c>
      <c r="L31" s="45"/>
    </row>
    <row r="32" spans="1:17" ht="21.75" customHeight="1" x14ac:dyDescent="0.25">
      <c r="A32" s="43"/>
      <c r="B32" s="66"/>
      <c r="C32" s="119"/>
      <c r="D32" s="119"/>
      <c r="E32" s="119"/>
      <c r="F32" s="49"/>
      <c r="G32" s="119"/>
      <c r="H32" s="119"/>
      <c r="I32" s="45"/>
      <c r="J32" s="45"/>
      <c r="K32" s="46"/>
      <c r="L32" s="45"/>
    </row>
    <row r="33" spans="1:13" x14ac:dyDescent="0.25">
      <c r="A33" s="43"/>
      <c r="B33" s="49"/>
      <c r="C33" s="226"/>
      <c r="D33" s="226"/>
      <c r="E33" s="226"/>
      <c r="F33" s="67"/>
      <c r="G33" s="226"/>
      <c r="H33" s="226"/>
      <c r="I33" s="43"/>
      <c r="J33" s="43"/>
      <c r="K33" s="46"/>
      <c r="L33" s="43"/>
    </row>
    <row r="34" spans="1:13" x14ac:dyDescent="0.25">
      <c r="A34" s="43"/>
      <c r="B34" s="68"/>
      <c r="C34" s="49"/>
      <c r="D34" s="49"/>
      <c r="E34" s="49"/>
      <c r="F34" s="49"/>
      <c r="G34" s="49"/>
      <c r="H34" s="49"/>
      <c r="I34" s="43"/>
      <c r="J34" s="43"/>
      <c r="K34" s="46"/>
      <c r="L34" s="43"/>
    </row>
    <row r="36" spans="1:13" x14ac:dyDescent="0.25">
      <c r="M36" s="42"/>
    </row>
  </sheetData>
  <mergeCells count="29">
    <mergeCell ref="J1:K1"/>
    <mergeCell ref="J2:K2"/>
    <mergeCell ref="I12:K12"/>
    <mergeCell ref="I14:K14"/>
    <mergeCell ref="A1:I1"/>
    <mergeCell ref="A2:I2"/>
    <mergeCell ref="D6:E6"/>
    <mergeCell ref="F6:H6"/>
    <mergeCell ref="D7:E7"/>
    <mergeCell ref="F7:H7"/>
    <mergeCell ref="J13:K13"/>
    <mergeCell ref="C33:E33"/>
    <mergeCell ref="G33:H33"/>
    <mergeCell ref="A19:C19"/>
    <mergeCell ref="A22:C22"/>
    <mergeCell ref="A25:C25"/>
    <mergeCell ref="I16:J16"/>
    <mergeCell ref="K16:K17"/>
    <mergeCell ref="C31:E31"/>
    <mergeCell ref="G31:H31"/>
    <mergeCell ref="A4:D4"/>
    <mergeCell ref="G30:H30"/>
    <mergeCell ref="E16:E17"/>
    <mergeCell ref="F16:H16"/>
    <mergeCell ref="A16:A17"/>
    <mergeCell ref="B16:B17"/>
    <mergeCell ref="C16:C17"/>
    <mergeCell ref="D16:D17"/>
    <mergeCell ref="E4:F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4:D15"/>
  <sheetViews>
    <sheetView workbookViewId="0">
      <selection activeCell="C7" sqref="C7"/>
    </sheetView>
  </sheetViews>
  <sheetFormatPr defaultRowHeight="15.75" x14ac:dyDescent="0.25"/>
  <cols>
    <col min="1" max="1" width="9.140625" style="28"/>
    <col min="2" max="2" width="66.5703125" style="28" customWidth="1"/>
    <col min="3" max="3" width="12.85546875" style="31" customWidth="1"/>
    <col min="4" max="4" width="10.42578125" style="28" customWidth="1"/>
    <col min="5" max="16384" width="9.140625" style="28"/>
  </cols>
  <sheetData>
    <row r="4" spans="2:4" ht="31.5" x14ac:dyDescent="0.25">
      <c r="B4" s="2" t="s">
        <v>112</v>
      </c>
      <c r="C4" s="30">
        <f>Калькуляция!D40</f>
        <v>22596</v>
      </c>
      <c r="D4" s="85"/>
    </row>
    <row r="5" spans="2:4" x14ac:dyDescent="0.25">
      <c r="B5" s="2" t="s">
        <v>114</v>
      </c>
      <c r="C5" s="30">
        <v>20.6</v>
      </c>
    </row>
    <row r="6" spans="2:4" x14ac:dyDescent="0.25">
      <c r="B6" s="27" t="s">
        <v>113</v>
      </c>
      <c r="C6" s="30">
        <f>250</f>
        <v>250</v>
      </c>
    </row>
    <row r="7" spans="2:4" x14ac:dyDescent="0.25">
      <c r="B7" s="1" t="s">
        <v>115</v>
      </c>
      <c r="C7" s="86">
        <f>C4/C5/C6</f>
        <v>4.3875728155339804</v>
      </c>
    </row>
    <row r="8" spans="2:4" x14ac:dyDescent="0.25">
      <c r="C8" s="28"/>
    </row>
    <row r="9" spans="2:4" x14ac:dyDescent="0.25">
      <c r="C9" s="28"/>
    </row>
    <row r="10" spans="2:4" x14ac:dyDescent="0.25">
      <c r="C10" s="28"/>
    </row>
    <row r="11" spans="2:4" x14ac:dyDescent="0.25">
      <c r="C11" s="28"/>
    </row>
    <row r="12" spans="2:4" x14ac:dyDescent="0.25">
      <c r="C12" s="28"/>
    </row>
    <row r="13" spans="2:4" x14ac:dyDescent="0.25">
      <c r="B13" s="27" t="s">
        <v>87</v>
      </c>
      <c r="C13" s="82">
        <f>C14/C15</f>
        <v>34.722222222222221</v>
      </c>
    </row>
    <row r="14" spans="2:4" x14ac:dyDescent="0.25">
      <c r="B14" s="27" t="s">
        <v>111</v>
      </c>
      <c r="C14" s="83">
        <v>250</v>
      </c>
    </row>
    <row r="15" spans="2:4" x14ac:dyDescent="0.25">
      <c r="B15" s="29" t="s">
        <v>88</v>
      </c>
      <c r="C15" s="84">
        <v>7.2</v>
      </c>
    </row>
  </sheetData>
  <phoneticPr fontId="0" type="noConversion"/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sqref="A1:XFD1048576"/>
    </sheetView>
  </sheetViews>
  <sheetFormatPr defaultRowHeight="15" x14ac:dyDescent="0.25"/>
  <cols>
    <col min="1" max="1" width="7.140625" customWidth="1"/>
    <col min="2" max="2" width="21.42578125" customWidth="1"/>
    <col min="3" max="3" width="42.85546875" customWidth="1"/>
  </cols>
  <sheetData>
    <row r="1" spans="1:3" ht="15" customHeight="1" x14ac:dyDescent="0.25">
      <c r="A1" s="248" t="s">
        <v>186</v>
      </c>
      <c r="B1" s="249"/>
      <c r="C1" s="250"/>
    </row>
    <row r="2" spans="1:3" ht="15" customHeight="1" x14ac:dyDescent="0.25">
      <c r="A2" s="251"/>
      <c r="B2" s="252" t="s">
        <v>187</v>
      </c>
      <c r="C2" s="253"/>
    </row>
    <row r="3" spans="1:3" ht="15" customHeight="1" x14ac:dyDescent="0.25">
      <c r="A3" s="251"/>
      <c r="B3" s="252" t="s">
        <v>188</v>
      </c>
      <c r="C3" s="253"/>
    </row>
    <row r="4" spans="1:3" ht="15" customHeight="1" x14ac:dyDescent="0.25">
      <c r="A4" s="254" t="s">
        <v>189</v>
      </c>
      <c r="B4" s="255"/>
      <c r="C4" s="256"/>
    </row>
    <row r="5" spans="1:3" ht="15" customHeight="1" x14ac:dyDescent="0.25">
      <c r="A5" s="246" t="s">
        <v>190</v>
      </c>
      <c r="B5" s="247"/>
      <c r="C5" s="183" t="s">
        <v>191</v>
      </c>
    </row>
    <row r="6" spans="1:3" ht="240" x14ac:dyDescent="0.25">
      <c r="A6" s="244" t="s">
        <v>192</v>
      </c>
      <c r="B6" s="245"/>
      <c r="C6" s="183" t="s">
        <v>193</v>
      </c>
    </row>
    <row r="7" spans="1:3" ht="75" x14ac:dyDescent="0.25">
      <c r="A7" s="244" t="s">
        <v>194</v>
      </c>
      <c r="B7" s="245"/>
      <c r="C7" s="183" t="s">
        <v>195</v>
      </c>
    </row>
    <row r="8" spans="1:3" ht="15" customHeight="1" x14ac:dyDescent="0.25">
      <c r="A8" s="246" t="s">
        <v>196</v>
      </c>
      <c r="B8" s="247"/>
      <c r="C8" s="183" t="s">
        <v>197</v>
      </c>
    </row>
    <row r="9" spans="1:3" ht="15" customHeight="1" x14ac:dyDescent="0.25">
      <c r="A9" s="246" t="s">
        <v>198</v>
      </c>
      <c r="B9" s="247"/>
      <c r="C9" s="183" t="s">
        <v>199</v>
      </c>
    </row>
    <row r="10" spans="1:3" ht="15" customHeight="1" x14ac:dyDescent="0.25">
      <c r="A10" s="246" t="s">
        <v>200</v>
      </c>
      <c r="B10" s="247"/>
      <c r="C10" s="183" t="s">
        <v>201</v>
      </c>
    </row>
    <row r="11" spans="1:3" ht="15" customHeight="1" x14ac:dyDescent="0.25">
      <c r="A11" s="246" t="s">
        <v>202</v>
      </c>
      <c r="B11" s="247"/>
      <c r="C11" s="183"/>
    </row>
    <row r="12" spans="1:3" ht="15.75" thickBot="1" x14ac:dyDescent="0.3">
      <c r="A12" s="184"/>
      <c r="B12" s="185"/>
      <c r="C12" s="186"/>
    </row>
  </sheetData>
  <mergeCells count="12">
    <mergeCell ref="A11:B11"/>
    <mergeCell ref="A1:C1"/>
    <mergeCell ref="A2:A3"/>
    <mergeCell ref="B2:C2"/>
    <mergeCell ref="B3:C3"/>
    <mergeCell ref="A4:C4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Калькуляция</vt:lpstr>
      <vt:lpstr>расход.материал</vt:lpstr>
      <vt:lpstr>СМЕТА</vt:lpstr>
      <vt:lpstr>Штатное расписание</vt:lpstr>
      <vt:lpstr>площадь</vt:lpstr>
      <vt:lpstr>Информация о подписи</vt:lpstr>
      <vt:lpstr>Калькуляция!Область_печати</vt:lpstr>
      <vt:lpstr>СМЕТА!Область_печати</vt:lpstr>
      <vt:lpstr>'Штатное расписание'!Область_печати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2025-09-23T23:33:20Z</dcterms:modified>
</cp:coreProperties>
</file>